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airwayscorporation-my.sharepoint.com/personal/penny_yu_airways_co_nz/Documents/Desktop/Workpaper/16. APLD/Tauranga - group1 price decerase/Calculator change from Dec 2023/"/>
    </mc:Choice>
  </mc:AlternateContent>
  <xr:revisionPtr revIDLastSave="129" documentId="8_{100014EF-DC6D-4569-85D7-41058CF17582}" xr6:coauthVersionLast="47" xr6:coauthVersionMax="47" xr10:uidLastSave="{4938BC68-8166-4E49-AE7B-BCC4554B4735}"/>
  <bookViews>
    <workbookView xWindow="-120" yWindow="-120" windowWidth="29040" windowHeight="15840" tabRatio="778" xr2:uid="{00000000-000D-0000-FFFF-FFFF00000000}"/>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s>
  <externalReferences>
    <externalReference r:id="rId8"/>
    <externalReference r:id="rId9"/>
    <externalReference r:id="rId10"/>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 i="15" l="1"/>
  <c r="F79" i="15" s="1"/>
  <c r="B77" i="15"/>
  <c r="B92" i="15" s="1"/>
  <c r="J37" i="14"/>
  <c r="N34" i="14"/>
  <c r="J34" i="14"/>
  <c r="Q34" i="14"/>
  <c r="P34" i="14"/>
  <c r="O34" i="14"/>
  <c r="I45" i="14"/>
  <c r="H47" i="14"/>
  <c r="D48" i="14"/>
  <c r="C48" i="14"/>
  <c r="I36" i="14"/>
  <c r="H35" i="14"/>
  <c r="G35" i="14"/>
  <c r="E36" i="14"/>
  <c r="D36" i="14"/>
  <c r="C36" i="14"/>
  <c r="J48" i="14"/>
  <c r="F48" i="14"/>
  <c r="B48" i="14"/>
  <c r="J47" i="14"/>
  <c r="F47" i="14"/>
  <c r="B47" i="14"/>
  <c r="J46" i="14"/>
  <c r="F46" i="14"/>
  <c r="B46" i="14"/>
  <c r="J45" i="14"/>
  <c r="F45" i="14"/>
  <c r="B45" i="14"/>
  <c r="J44" i="14"/>
  <c r="F44" i="14"/>
  <c r="B44" i="14"/>
  <c r="J43" i="14"/>
  <c r="F43" i="14"/>
  <c r="B43" i="14"/>
  <c r="J42" i="14"/>
  <c r="F42" i="14"/>
  <c r="B42" i="14"/>
  <c r="J41" i="14"/>
  <c r="F41" i="14"/>
  <c r="B41" i="14"/>
  <c r="J40" i="14"/>
  <c r="F40" i="14"/>
  <c r="B40" i="14"/>
  <c r="J39" i="14"/>
  <c r="F39" i="14"/>
  <c r="B39" i="14"/>
  <c r="J38" i="14"/>
  <c r="F38" i="14"/>
  <c r="B38" i="14"/>
  <c r="F37" i="14"/>
  <c r="B37" i="14"/>
  <c r="J36" i="14"/>
  <c r="F36" i="14"/>
  <c r="B36" i="14"/>
  <c r="J35" i="14"/>
  <c r="F35" i="14"/>
  <c r="B35" i="14"/>
  <c r="F34" i="14"/>
  <c r="B34" i="14"/>
  <c r="G47" i="14"/>
  <c r="E48" i="14"/>
  <c r="C42" i="15"/>
  <c r="C30" i="16" s="1"/>
  <c r="E55" i="16" s="1"/>
  <c r="D42" i="15"/>
  <c r="E42" i="15"/>
  <c r="E30" i="16" s="1"/>
  <c r="F42" i="15"/>
  <c r="F30" i="16" s="1"/>
  <c r="F28" i="28" s="1"/>
  <c r="G42" i="15"/>
  <c r="G30" i="16" s="1"/>
  <c r="G28" i="28" s="1"/>
  <c r="H42" i="15"/>
  <c r="I42" i="15"/>
  <c r="J42" i="15"/>
  <c r="K42" i="15"/>
  <c r="K29" i="14" s="1"/>
  <c r="O33" i="14" s="1"/>
  <c r="L42" i="15"/>
  <c r="L30" i="16" s="1"/>
  <c r="L28" i="28" s="1"/>
  <c r="M42" i="15"/>
  <c r="M29" i="14" s="1"/>
  <c r="Q33" i="14" s="1"/>
  <c r="N42" i="15"/>
  <c r="O42" i="15"/>
  <c r="P42" i="15"/>
  <c r="Q42" i="15"/>
  <c r="R42" i="15"/>
  <c r="S42" i="15"/>
  <c r="T42" i="15"/>
  <c r="U42" i="15"/>
  <c r="B42" i="15"/>
  <c r="K36" i="14"/>
  <c r="K34" i="14"/>
  <c r="L36" i="14"/>
  <c r="L34" i="14"/>
  <c r="M36" i="14"/>
  <c r="M34" i="14"/>
  <c r="K48" i="14"/>
  <c r="K37" i="14"/>
  <c r="L48" i="14"/>
  <c r="L37" i="14"/>
  <c r="M48" i="14"/>
  <c r="M37" i="14"/>
  <c r="M47" i="14"/>
  <c r="E35" i="14"/>
  <c r="L47" i="14"/>
  <c r="M40" i="14"/>
  <c r="E34" i="14"/>
  <c r="D39" i="14"/>
  <c r="I35" i="14"/>
  <c r="H46" i="14"/>
  <c r="I34" i="14"/>
  <c r="H48" i="14"/>
  <c r="M41" i="14"/>
  <c r="H36" i="14"/>
  <c r="H38" i="14"/>
  <c r="H40" i="14"/>
  <c r="M44" i="14"/>
  <c r="I39" i="14"/>
  <c r="L43" i="14"/>
  <c r="D45" i="14"/>
  <c r="H42" i="14"/>
  <c r="M43" i="14"/>
  <c r="M46" i="14"/>
  <c r="L35" i="14"/>
  <c r="M35" i="14"/>
  <c r="M39" i="14"/>
  <c r="M42" i="14"/>
  <c r="L45" i="14"/>
  <c r="D47" i="14"/>
  <c r="D41" i="14"/>
  <c r="D37" i="14"/>
  <c r="M38" i="14"/>
  <c r="H44" i="14"/>
  <c r="M45" i="14"/>
  <c r="L39" i="14"/>
  <c r="D34" i="14"/>
  <c r="D35" i="14"/>
  <c r="L41" i="14"/>
  <c r="D43" i="14"/>
  <c r="I37" i="14"/>
  <c r="E40" i="14"/>
  <c r="I47" i="14"/>
  <c r="C34" i="14"/>
  <c r="C35" i="14"/>
  <c r="K35" i="14"/>
  <c r="G36" i="14"/>
  <c r="C37" i="14"/>
  <c r="G38" i="14"/>
  <c r="C39" i="14"/>
  <c r="K39" i="14"/>
  <c r="G40" i="14"/>
  <c r="C41" i="14"/>
  <c r="K41" i="14"/>
  <c r="G42" i="14"/>
  <c r="C43" i="14"/>
  <c r="K43" i="14"/>
  <c r="G44" i="14"/>
  <c r="C45" i="14"/>
  <c r="K45" i="14"/>
  <c r="G46" i="14"/>
  <c r="C47" i="14"/>
  <c r="K47" i="14"/>
  <c r="G48" i="14"/>
  <c r="E43" i="14"/>
  <c r="E37" i="14"/>
  <c r="I38" i="14"/>
  <c r="E39" i="14"/>
  <c r="I40" i="14"/>
  <c r="E41" i="14"/>
  <c r="I42" i="14"/>
  <c r="E45" i="14"/>
  <c r="I46" i="14"/>
  <c r="I48" i="14"/>
  <c r="G34" i="14"/>
  <c r="G37" i="14"/>
  <c r="C38" i="14"/>
  <c r="K38" i="14"/>
  <c r="G39" i="14"/>
  <c r="C40" i="14"/>
  <c r="K40" i="14"/>
  <c r="G41" i="14"/>
  <c r="C42" i="14"/>
  <c r="K42" i="14"/>
  <c r="G43" i="14"/>
  <c r="C44" i="14"/>
  <c r="K44" i="14"/>
  <c r="G45" i="14"/>
  <c r="C46" i="14"/>
  <c r="K46" i="14"/>
  <c r="I44" i="14"/>
  <c r="E47" i="14"/>
  <c r="H34" i="14"/>
  <c r="H37" i="14"/>
  <c r="D38" i="14"/>
  <c r="L38" i="14"/>
  <c r="H39" i="14"/>
  <c r="D40" i="14"/>
  <c r="L40" i="14"/>
  <c r="H41" i="14"/>
  <c r="D42" i="14"/>
  <c r="L42" i="14"/>
  <c r="H43" i="14"/>
  <c r="D44" i="14"/>
  <c r="L44" i="14"/>
  <c r="H45" i="14"/>
  <c r="D46" i="14"/>
  <c r="L46" i="14"/>
  <c r="E38" i="14"/>
  <c r="I41" i="14"/>
  <c r="E42" i="14"/>
  <c r="I43" i="14"/>
  <c r="E44" i="14"/>
  <c r="E46" i="14"/>
  <c r="G48" i="16"/>
  <c r="D58" i="23"/>
  <c r="C59" i="23"/>
  <c r="D60" i="23" s="1"/>
  <c r="D30" i="16"/>
  <c r="D28" i="28" s="1"/>
  <c r="B30" i="16"/>
  <c r="B28" i="28"/>
  <c r="D32" i="11"/>
  <c r="B32" i="11"/>
  <c r="D29" i="14"/>
  <c r="F76" i="14" s="1"/>
  <c r="B29" i="14"/>
  <c r="D76" i="14" s="1"/>
  <c r="F78" i="15"/>
  <c r="F60" i="11" s="1"/>
  <c r="F69" i="11" s="1"/>
  <c r="D78" i="15"/>
  <c r="D60" i="11" s="1"/>
  <c r="D69" i="11" s="1"/>
  <c r="F87" i="15"/>
  <c r="E50" i="16"/>
  <c r="F67" i="14"/>
  <c r="D53" i="28"/>
  <c r="D45" i="28"/>
  <c r="F55" i="16"/>
  <c r="D55" i="16"/>
  <c r="F47" i="16"/>
  <c r="D47" i="16"/>
  <c r="G50" i="16"/>
  <c r="G49" i="16"/>
  <c r="E49" i="16"/>
  <c r="E48" i="16"/>
  <c r="K9" i="28"/>
  <c r="B59" i="11"/>
  <c r="B74" i="11" s="1"/>
  <c r="B58" i="11"/>
  <c r="F61" i="11" s="1"/>
  <c r="F76" i="11" s="1"/>
  <c r="D31" i="23" s="1"/>
  <c r="B66" i="14"/>
  <c r="B81" i="14" s="1"/>
  <c r="B65" i="14"/>
  <c r="D69" i="14" s="1"/>
  <c r="D48" i="28"/>
  <c r="D47" i="28"/>
  <c r="D46" i="28"/>
  <c r="B44" i="28"/>
  <c r="B43" i="28"/>
  <c r="D54" i="28" s="1"/>
  <c r="A21" i="28"/>
  <c r="B21" i="28" s="1"/>
  <c r="C10" i="28"/>
  <c r="C7" i="28" s="1"/>
  <c r="B10" i="28"/>
  <c r="E6" i="28" s="1"/>
  <c r="C58" i="28"/>
  <c r="F48" i="16"/>
  <c r="F49" i="16"/>
  <c r="F50" i="16"/>
  <c r="D50" i="16"/>
  <c r="D49" i="16"/>
  <c r="D48" i="16"/>
  <c r="B46" i="16"/>
  <c r="G58" i="16" s="1"/>
  <c r="B45" i="16"/>
  <c r="H30" i="16"/>
  <c r="H28" i="28"/>
  <c r="H32" i="11"/>
  <c r="H29" i="14"/>
  <c r="I30" i="16"/>
  <c r="I28" i="28" s="1"/>
  <c r="I32" i="11"/>
  <c r="I29" i="14"/>
  <c r="M30" i="16"/>
  <c r="M28" i="28" s="1"/>
  <c r="M32" i="11"/>
  <c r="K30" i="16"/>
  <c r="K28" i="28" s="1"/>
  <c r="K32" i="11"/>
  <c r="J30" i="16"/>
  <c r="J28" i="28" s="1"/>
  <c r="J32" i="11"/>
  <c r="J29" i="14"/>
  <c r="N33" i="14" s="1"/>
  <c r="L32" i="11"/>
  <c r="L29" i="14"/>
  <c r="P33" i="14"/>
  <c r="A34" i="15"/>
  <c r="B34" i="15" s="1"/>
  <c r="B10" i="16"/>
  <c r="G6" i="16" s="1"/>
  <c r="C10" i="16"/>
  <c r="F7" i="16" s="1"/>
  <c r="A18" i="11"/>
  <c r="B18" i="11" s="1"/>
  <c r="C18" i="11" s="1"/>
  <c r="A21" i="16"/>
  <c r="B21" i="16" s="1"/>
  <c r="A21" i="14"/>
  <c r="B21" i="14" s="1"/>
  <c r="AP21" i="14"/>
  <c r="AE21" i="14"/>
  <c r="AF21" i="14"/>
  <c r="AG21" i="14"/>
  <c r="AK21" i="14"/>
  <c r="AO21" i="14"/>
  <c r="AH21" i="14"/>
  <c r="AM21" i="14"/>
  <c r="AJ21" i="14"/>
  <c r="AL21" i="14"/>
  <c r="AQ21" i="14"/>
  <c r="AI21" i="14"/>
  <c r="AR21" i="14"/>
  <c r="AN21" i="14"/>
  <c r="AS21" i="14"/>
  <c r="G47" i="28"/>
  <c r="F47" i="28"/>
  <c r="E47" i="28"/>
  <c r="G46" i="28"/>
  <c r="F46" i="28"/>
  <c r="E46" i="28"/>
  <c r="E48" i="28"/>
  <c r="F48" i="28"/>
  <c r="G48" i="28"/>
  <c r="D56" i="28" l="1"/>
  <c r="E56" i="28"/>
  <c r="F54" i="28"/>
  <c r="E7" i="16"/>
  <c r="E54" i="28"/>
  <c r="D7" i="28"/>
  <c r="H6" i="28"/>
  <c r="G56" i="28"/>
  <c r="E55" i="28"/>
  <c r="G54" i="28"/>
  <c r="F6" i="28"/>
  <c r="D6" i="28"/>
  <c r="D55" i="28"/>
  <c r="G55" i="28"/>
  <c r="F7" i="28"/>
  <c r="D7" i="16"/>
  <c r="G7" i="28"/>
  <c r="H7" i="16"/>
  <c r="G6" i="28"/>
  <c r="C7" i="16"/>
  <c r="C6" i="28"/>
  <c r="E7" i="28"/>
  <c r="G7" i="16"/>
  <c r="H7" i="28"/>
  <c r="C21" i="28" s="1"/>
  <c r="D21" i="28" s="1"/>
  <c r="C60" i="28" s="1"/>
  <c r="H6" i="16"/>
  <c r="E6" i="16"/>
  <c r="F6" i="16"/>
  <c r="B58" i="28"/>
  <c r="E58" i="28" s="1"/>
  <c r="E60" i="28" s="1"/>
  <c r="C33" i="23" s="1"/>
  <c r="D80" i="15"/>
  <c r="D88" i="15" s="1"/>
  <c r="G81" i="15"/>
  <c r="D79" i="15"/>
  <c r="C58" i="23"/>
  <c r="D59" i="23" s="1"/>
  <c r="E78" i="15"/>
  <c r="D29" i="23"/>
  <c r="C29" i="14"/>
  <c r="G29" i="14"/>
  <c r="C32" i="11"/>
  <c r="G32" i="11"/>
  <c r="E80" i="15"/>
  <c r="E88" i="15" s="1"/>
  <c r="E79" i="15"/>
  <c r="E69" i="14"/>
  <c r="E77" i="14" s="1"/>
  <c r="E81" i="15"/>
  <c r="D81" i="15"/>
  <c r="D58" i="16"/>
  <c r="E57" i="16"/>
  <c r="V34" i="15"/>
  <c r="AK34" i="15" s="1"/>
  <c r="AA34" i="15"/>
  <c r="F56" i="28"/>
  <c r="F55" i="28"/>
  <c r="C6" i="16"/>
  <c r="D6" i="16"/>
  <c r="F58" i="16"/>
  <c r="E58" i="16"/>
  <c r="G56" i="16"/>
  <c r="F57" i="16"/>
  <c r="F56" i="16"/>
  <c r="E56" i="16"/>
  <c r="D56" i="16"/>
  <c r="S18" i="11"/>
  <c r="AD18" i="11"/>
  <c r="T18" i="11"/>
  <c r="X18" i="11"/>
  <c r="U18" i="11"/>
  <c r="AB18" i="11"/>
  <c r="AF18" i="11"/>
  <c r="W18" i="11"/>
  <c r="Y18" i="11"/>
  <c r="AA18" i="11"/>
  <c r="AC18" i="11"/>
  <c r="AE18" i="11"/>
  <c r="AG18" i="11"/>
  <c r="V18" i="11"/>
  <c r="Z18" i="11"/>
  <c r="Q34" i="15"/>
  <c r="C34" i="15"/>
  <c r="N34" i="15"/>
  <c r="P34" i="15"/>
  <c r="S34" i="15"/>
  <c r="J34" i="15"/>
  <c r="F34" i="15"/>
  <c r="O34" i="15"/>
  <c r="K34" i="15"/>
  <c r="D34" i="15"/>
  <c r="L34" i="15"/>
  <c r="R34" i="15"/>
  <c r="E34" i="15"/>
  <c r="G34" i="15"/>
  <c r="I34" i="15"/>
  <c r="M34" i="15"/>
  <c r="H34" i="15"/>
  <c r="C21" i="14"/>
  <c r="E21" i="14"/>
  <c r="L21" i="14" s="1"/>
  <c r="F21" i="14"/>
  <c r="X21" i="14" s="1"/>
  <c r="D21" i="14"/>
  <c r="D57" i="16"/>
  <c r="B60" i="16"/>
  <c r="W34" i="15"/>
  <c r="D77" i="14"/>
  <c r="G70" i="14"/>
  <c r="Z34" i="15"/>
  <c r="AN34" i="15"/>
  <c r="Y34" i="15"/>
  <c r="AM34" i="15"/>
  <c r="X34" i="15"/>
  <c r="G57" i="16"/>
  <c r="G63" i="11"/>
  <c r="F63" i="11"/>
  <c r="C74" i="11"/>
  <c r="C76" i="11" s="1"/>
  <c r="E61" i="11"/>
  <c r="E76" i="11" s="1"/>
  <c r="C31" i="23" s="1"/>
  <c r="E31" i="23" s="1"/>
  <c r="D61" i="11"/>
  <c r="D76" i="11" s="1"/>
  <c r="E62" i="11"/>
  <c r="E70" i="11" s="1"/>
  <c r="D68" i="14"/>
  <c r="E63" i="11"/>
  <c r="D70" i="14"/>
  <c r="F70" i="14"/>
  <c r="F81" i="15"/>
  <c r="G79" i="15"/>
  <c r="G69" i="14"/>
  <c r="G77" i="14" s="1"/>
  <c r="D62" i="11"/>
  <c r="D70" i="11" s="1"/>
  <c r="E70" i="14"/>
  <c r="G68" i="14"/>
  <c r="D63" i="11"/>
  <c r="E68" i="14"/>
  <c r="G80" i="15"/>
  <c r="G61" i="11"/>
  <c r="G76" i="11" s="1"/>
  <c r="F68" i="14"/>
  <c r="F80" i="15"/>
  <c r="F88" i="15" s="1"/>
  <c r="F69" i="14"/>
  <c r="F77" i="14" s="1"/>
  <c r="G62" i="11"/>
  <c r="G70" i="11" s="1"/>
  <c r="F62" i="11"/>
  <c r="F70" i="11" s="1"/>
  <c r="F45" i="28"/>
  <c r="F53" i="28"/>
  <c r="E28" i="28"/>
  <c r="G55" i="16"/>
  <c r="G47" i="16"/>
  <c r="E32" i="11"/>
  <c r="C60" i="23"/>
  <c r="C26" i="23"/>
  <c r="D87" i="15"/>
  <c r="G78" i="15"/>
  <c r="F32" i="11"/>
  <c r="E47" i="16"/>
  <c r="F29" i="14"/>
  <c r="D67" i="14"/>
  <c r="C28" i="28"/>
  <c r="E29" i="14"/>
  <c r="C21" i="16" l="1"/>
  <c r="D21" i="16" s="1"/>
  <c r="C60" i="16" s="1"/>
  <c r="C62" i="16" s="1"/>
  <c r="D58" i="28"/>
  <c r="D60" i="28" s="1"/>
  <c r="G58" i="28"/>
  <c r="G60" i="28" s="1"/>
  <c r="E90" i="15"/>
  <c r="D90" i="15"/>
  <c r="G89" i="15"/>
  <c r="C92" i="15"/>
  <c r="C94" i="15" s="1"/>
  <c r="AH34" i="15"/>
  <c r="AC34" i="15"/>
  <c r="F58" i="28"/>
  <c r="F60" i="28" s="1"/>
  <c r="D33" i="23" s="1"/>
  <c r="E33" i="23" s="1"/>
  <c r="E67" i="14"/>
  <c r="E76" i="14"/>
  <c r="E60" i="11"/>
  <c r="E69" i="11" s="1"/>
  <c r="E87" i="15"/>
  <c r="D89" i="15"/>
  <c r="F89" i="15"/>
  <c r="E89" i="15"/>
  <c r="G88" i="15"/>
  <c r="G90" i="15"/>
  <c r="AF34" i="15"/>
  <c r="M21" i="14"/>
  <c r="O21" i="14"/>
  <c r="R21" i="14"/>
  <c r="AA21" i="14"/>
  <c r="W21" i="14"/>
  <c r="P21" i="14"/>
  <c r="T21" i="14"/>
  <c r="Y21" i="14"/>
  <c r="V21" i="14"/>
  <c r="S21" i="14"/>
  <c r="Q21" i="14"/>
  <c r="Z21" i="14"/>
  <c r="U21" i="14"/>
  <c r="D60" i="16"/>
  <c r="D62" i="16" s="1"/>
  <c r="G60" i="16"/>
  <c r="G62" i="16" s="1"/>
  <c r="F60" i="16"/>
  <c r="F62" i="16" s="1"/>
  <c r="D32" i="23" s="1"/>
  <c r="E60" i="16"/>
  <c r="E62" i="16" s="1"/>
  <c r="C32" i="23" s="1"/>
  <c r="F90" i="15"/>
  <c r="AL34" i="15"/>
  <c r="AB34" i="15"/>
  <c r="AI34" i="15"/>
  <c r="AJ34" i="15"/>
  <c r="AG34" i="15"/>
  <c r="AE34" i="15"/>
  <c r="AD34" i="15"/>
  <c r="E72" i="11"/>
  <c r="E71" i="11"/>
  <c r="F71" i="11"/>
  <c r="F72" i="11"/>
  <c r="D72" i="11"/>
  <c r="D74" i="11" s="1"/>
  <c r="D71" i="11"/>
  <c r="E79" i="14"/>
  <c r="E78" i="14"/>
  <c r="G72" i="11"/>
  <c r="G71" i="11"/>
  <c r="F79" i="14"/>
  <c r="F81" i="14" s="1"/>
  <c r="F83" i="14" s="1"/>
  <c r="D30" i="23" s="1"/>
  <c r="F78" i="14"/>
  <c r="G79" i="14"/>
  <c r="D79" i="14"/>
  <c r="D78" i="14"/>
  <c r="G78" i="14"/>
  <c r="G60" i="11"/>
  <c r="G69" i="11" s="1"/>
  <c r="G87" i="15"/>
  <c r="C29" i="23"/>
  <c r="E29" i="23" s="1"/>
  <c r="G76" i="14"/>
  <c r="G67" i="14"/>
  <c r="E53" i="28"/>
  <c r="E45" i="28"/>
  <c r="G45" i="28"/>
  <c r="G53" i="28"/>
  <c r="E81" i="14" l="1"/>
  <c r="E83" i="14" s="1"/>
  <c r="C30" i="23" s="1"/>
  <c r="F92" i="15"/>
  <c r="F94" i="15" s="1"/>
  <c r="D28" i="23" s="1"/>
  <c r="D34" i="23" s="1"/>
  <c r="D35" i="23" s="1"/>
  <c r="G92" i="15"/>
  <c r="G94" i="15" s="1"/>
  <c r="E92" i="15"/>
  <c r="E94" i="15" s="1"/>
  <c r="C28" i="23" s="1"/>
  <c r="C34" i="23" s="1"/>
  <c r="D92" i="15"/>
  <c r="D94" i="15" s="1"/>
  <c r="C81" i="14"/>
  <c r="C83" i="14" s="1"/>
  <c r="G74" i="11"/>
  <c r="D81" i="14"/>
  <c r="D83" i="14" s="1"/>
  <c r="G81" i="14"/>
  <c r="G83" i="14" s="1"/>
  <c r="E30" i="23"/>
  <c r="E32" i="23"/>
  <c r="F74" i="11"/>
  <c r="E74" i="11"/>
  <c r="E28" i="23" l="1"/>
  <c r="E34" i="23" s="1"/>
  <c r="D36" i="23"/>
  <c r="C35" i="23"/>
  <c r="E35" i="23" s="1"/>
  <c r="C36" i="23" l="1"/>
  <c r="E36" i="23" s="1"/>
</calcChain>
</file>

<file path=xl/sharedStrings.xml><?xml version="1.0" encoding="utf-8"?>
<sst xmlns="http://schemas.openxmlformats.org/spreadsheetml/2006/main" count="600" uniqueCount="192">
  <si>
    <t>Price comparison calculator</t>
  </si>
  <si>
    <t>Instructions</t>
  </si>
  <si>
    <t>For all differences, a positive difference means a price increase.</t>
  </si>
  <si>
    <t>Enter the flight information in the boxes below (cells C18 to C23)</t>
  </si>
  <si>
    <t>A flight landing in New Zealand</t>
  </si>
  <si>
    <t>1.) Select the arrival airport from the Arrival airport list</t>
  </si>
  <si>
    <t>2.) Select whether the aircraft is operating VFR or IFR (only some charges apply to 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</si>
  <si>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</si>
  <si>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</si>
  <si>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</si>
  <si>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6.) Enter the Oceanic En-route Distance flown in nautical miles. If the Oceanic En-route Service is not used or an Aircraft has taken off and landed from the same aerodrome, then enter 0 miles.</t>
  </si>
  <si>
    <t>7.) Select the year that you require prices for.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</si>
  <si>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</si>
  <si>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Flight details</t>
  </si>
  <si>
    <t>Arrival Airport</t>
  </si>
  <si>
    <t>Auckland</t>
  </si>
  <si>
    <t>See notes g and h for location specific notes</t>
  </si>
  <si>
    <t>Operating IFR or VFR</t>
  </si>
  <si>
    <t>IFR</t>
  </si>
  <si>
    <t>IFR or VFR (see note d)</t>
  </si>
  <si>
    <t>Aircraft Weight</t>
  </si>
  <si>
    <t>Kilograms</t>
  </si>
  <si>
    <t>Number of circuits</t>
  </si>
  <si>
    <t>Only relevant at attended aerodromes (see note e)</t>
  </si>
  <si>
    <t>Domestic En-route distance</t>
  </si>
  <si>
    <t>Nautical miles (use 150 nm for international flights - see note f).</t>
  </si>
  <si>
    <t>Oceanic En-route distance</t>
  </si>
  <si>
    <t>Nautical miles</t>
  </si>
  <si>
    <t>Airways fee</t>
  </si>
  <si>
    <t>Difference</t>
  </si>
  <si>
    <t>$NZD</t>
  </si>
  <si>
    <t xml:space="preserve"> $NZD</t>
  </si>
  <si>
    <t>Aerodrome Service</t>
  </si>
  <si>
    <t>Circuits</t>
  </si>
  <si>
    <t>Approach Service</t>
  </si>
  <si>
    <t>Unattended Service</t>
  </si>
  <si>
    <t>En-route Domestic</t>
  </si>
  <si>
    <t>En-route Oceanic</t>
  </si>
  <si>
    <t>Total ANS charge</t>
  </si>
  <si>
    <t xml:space="preserve">   plus GST</t>
  </si>
  <si>
    <t>ANS charge plus GST</t>
  </si>
  <si>
    <t>Notes</t>
  </si>
  <si>
    <t>b.) Please refer to the Service Framework and the Proposed Pricing Framework to define which services are applicable and how the proposed prices are applied.</t>
  </si>
  <si>
    <t>c.) Price sets: The current Standard Terms and Conditions available on the Airways website are used to calculate the indicative prices in this calculator.</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</si>
  <si>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</si>
  <si>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</si>
  <si>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</si>
  <si>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g.) The Auckland and Queenstown Approach prices include the enhanced Auckland Cat III lighting Service and Queenstown Multilat Services respectively.</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</si>
  <si>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</si>
  <si>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</si>
  <si>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</si>
  <si>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Pick List</t>
  </si>
  <si>
    <t>Comparative</t>
  </si>
  <si>
    <t>Current 2012/13 Prices</t>
  </si>
  <si>
    <t>Proposed 2013/14 Prices</t>
  </si>
  <si>
    <t>Aerodromes</t>
  </si>
  <si>
    <t>VFR/IFR</t>
  </si>
  <si>
    <t>Christchurch</t>
  </si>
  <si>
    <t>VFR</t>
  </si>
  <si>
    <t>Dunedin</t>
  </si>
  <si>
    <t>Gisborne</t>
  </si>
  <si>
    <t>Great Barrier</t>
  </si>
  <si>
    <t>Hamilton</t>
  </si>
  <si>
    <t>Hokitika</t>
  </si>
  <si>
    <t>Invercargill</t>
  </si>
  <si>
    <t>Kaitaia</t>
  </si>
  <si>
    <t>Kapiti</t>
  </si>
  <si>
    <t>Kerikeri</t>
  </si>
  <si>
    <t>Milford</t>
  </si>
  <si>
    <t>Napier</t>
  </si>
  <si>
    <t>Nelson</t>
  </si>
  <si>
    <t>New Plymouth</t>
  </si>
  <si>
    <t>Oamaru</t>
  </si>
  <si>
    <t>Palmerston North</t>
  </si>
  <si>
    <t>Queenstown</t>
  </si>
  <si>
    <t>Rotorua</t>
  </si>
  <si>
    <t>Taupo</t>
  </si>
  <si>
    <t>Tauranga</t>
  </si>
  <si>
    <t>Timaru</t>
  </si>
  <si>
    <t>Wairoa</t>
  </si>
  <si>
    <t>Wanaka</t>
  </si>
  <si>
    <t>Wanganui</t>
  </si>
  <si>
    <t>Wellington</t>
  </si>
  <si>
    <t>Westport</t>
  </si>
  <si>
    <t>Whakatane</t>
  </si>
  <si>
    <t>Whangarei</t>
  </si>
  <si>
    <t>Woodbourne</t>
  </si>
  <si>
    <t>Other Unattended</t>
  </si>
  <si>
    <t>Oceanic over flight</t>
  </si>
  <si>
    <t>Attended</t>
  </si>
  <si>
    <t>Oceanic overflight</t>
  </si>
  <si>
    <t>Current price set</t>
  </si>
  <si>
    <t>Aerodrome base charge</t>
  </si>
  <si>
    <t>Gliders and single engine agricultural aircraft</t>
  </si>
  <si>
    <t>0 – 680 kg</t>
  </si>
  <si>
    <t>681 –1,999 kg</t>
  </si>
  <si>
    <t>2,000 – 5,000 kg</t>
  </si>
  <si>
    <t>5,001 – 7,999 kg</t>
  </si>
  <si>
    <t>8,000 – 30,000 kg</t>
  </si>
  <si>
    <t>30,000 kg</t>
  </si>
  <si>
    <t>Aerodrome weight charge</t>
  </si>
  <si>
    <t>DN</t>
  </si>
  <si>
    <t>GS</t>
  </si>
  <si>
    <t>HN</t>
  </si>
  <si>
    <t>NV</t>
  </si>
  <si>
    <t>NR</t>
  </si>
  <si>
    <t>NS</t>
  </si>
  <si>
    <t>NP</t>
  </si>
  <si>
    <t>PM</t>
  </si>
  <si>
    <t>QN</t>
  </si>
  <si>
    <t>RO</t>
  </si>
  <si>
    <t>TG</t>
  </si>
  <si>
    <t>WB</t>
  </si>
  <si>
    <t>PP</t>
  </si>
  <si>
    <t>MF</t>
  </si>
  <si>
    <t>AA</t>
  </si>
  <si>
    <t>CH</t>
  </si>
  <si>
    <t>WN</t>
  </si>
  <si>
    <t>Price by weight and location</t>
  </si>
  <si>
    <t>Current</t>
  </si>
  <si>
    <t>Proposed</t>
  </si>
  <si>
    <t>RG cluster 1</t>
  </si>
  <si>
    <t>RG cluster 2</t>
  </si>
  <si>
    <t>Pricing Table</t>
  </si>
  <si>
    <t>Updated 2015/16 Prices</t>
  </si>
  <si>
    <t xml:space="preserve">Aerodrome charges </t>
  </si>
  <si>
    <t>Minimum Price</t>
  </si>
  <si>
    <t>Base Rate</t>
  </si>
  <si>
    <t>Weight Rate &gt;5 tonnes</t>
  </si>
  <si>
    <t>Circuit Charges</t>
  </si>
  <si>
    <t>QN Lights price &gt;30 tonne</t>
  </si>
  <si>
    <t>Regional Airport (Group 1)</t>
  </si>
  <si>
    <t>Regional Airport (Group 2)</t>
  </si>
  <si>
    <t>Group 1 includes Nelson, Palmerston North, Tauranga and Hamilton.</t>
  </si>
  <si>
    <t>Group 2 includes Dunedin, Gisborne, New Plymouth, Napier, Invercargill, Rotorua and Woodbourne.</t>
  </si>
  <si>
    <t>Milford prices are required to offset low and declining traffic volumes.</t>
  </si>
  <si>
    <t>Pricing Formula (From 1 July 2013)</t>
  </si>
  <si>
    <t>Greater of minimum price or:</t>
  </si>
  <si>
    <t>Aircraft &lt; 5 tonnes =</t>
  </si>
  <si>
    <t>base rate x MCTOW/5</t>
  </si>
  <si>
    <t>Aircraft 5 - 30 tonnes =</t>
  </si>
  <si>
    <t>base rate + weight rate x (MCTOW - 5)</t>
  </si>
  <si>
    <t>Aircraft &gt; 30 tonnes =</t>
  </si>
  <si>
    <t>base rate + weight rate x 5 x sqrt of (MCTOW - 5)</t>
  </si>
  <si>
    <t>Pricing Inputs</t>
  </si>
  <si>
    <t>Aerodrome</t>
  </si>
  <si>
    <t>Weight Rate</t>
  </si>
  <si>
    <t>Calculated Price Options</t>
  </si>
  <si>
    <t>2012/13 Prices</t>
  </si>
  <si>
    <t>A</t>
  </si>
  <si>
    <t>Old Formula</t>
  </si>
  <si>
    <t>B</t>
  </si>
  <si>
    <t>C</t>
  </si>
  <si>
    <t>Applicable Formula</t>
  </si>
  <si>
    <t>Final Price</t>
  </si>
  <si>
    <t>Approach base charge</t>
  </si>
  <si>
    <t>Approach weight charge</t>
  </si>
  <si>
    <t>Regional attended</t>
  </si>
  <si>
    <t>WG &amp; CH</t>
  </si>
  <si>
    <t xml:space="preserve">Approach charges </t>
  </si>
  <si>
    <t>International towers</t>
  </si>
  <si>
    <t>Regional towers</t>
  </si>
  <si>
    <t>Additional Auckland CAT III weight rate (added to the international tower price)</t>
  </si>
  <si>
    <t>Adder For over 30 Tonne</t>
  </si>
  <si>
    <t>Additional Queenstown Multilat weight rate (added to the regional tower price)</t>
  </si>
  <si>
    <t>*</t>
  </si>
  <si>
    <t>Unattended</t>
  </si>
  <si>
    <t>Minimum</t>
  </si>
  <si>
    <t>Other unattended</t>
  </si>
  <si>
    <t>2013/14</t>
  </si>
  <si>
    <t>VFR flight plans filed online</t>
  </si>
  <si>
    <t>2013/14 Prop</t>
  </si>
  <si>
    <t>VFR flight plans filed by other means</t>
  </si>
  <si>
    <t>Overdue SARTIME</t>
  </si>
  <si>
    <t xml:space="preserve">Unattended charges </t>
  </si>
  <si>
    <t>Enroute base charge</t>
  </si>
  <si>
    <t>Enroute weight charge</t>
  </si>
  <si>
    <t>Domestic enroute</t>
  </si>
  <si>
    <t>Oceanic enroute</t>
  </si>
  <si>
    <t>changeable distance</t>
  </si>
  <si>
    <t>note - the weight component has not been adjusted for distance to keep the exmaple forumla simple - using 100 distance, the distance would have no effect because it is divided by 100.</t>
  </si>
  <si>
    <t>Domestic enroute (with min)</t>
  </si>
  <si>
    <t>En-route Charges</t>
  </si>
  <si>
    <t>Domestic</t>
  </si>
  <si>
    <t>Oceanic</t>
  </si>
  <si>
    <t>base rate x Nautical Miles/100</t>
  </si>
  <si>
    <t>(base rate + weight rate x (MCTOW - 5)) x Nautical Miles/100</t>
  </si>
  <si>
    <t>(base rate + weight rate x 5 x sqrt of (MCTOW - 5)) * Nautical Miles/100</t>
  </si>
  <si>
    <t>Nautical Miles</t>
  </si>
  <si>
    <t>(base rate + weight rate x 5 x sqrt of (MCTOW - 5)) * Nuatical Miles/100</t>
  </si>
  <si>
    <t>2023/24 Prices</t>
  </si>
  <si>
    <t>a.) The following calculator provides a comparison of year to year price changes for the three year period 1 Dec 2023 - 30 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</si>
</sst>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1"/>
      <name val="Arial"/>
      <family val="2"/>
    </font>
    <font>
      <sz val="9"/>
      <color theme="0" tint="-0.499984740745262"/>
      <name val="Arial"/>
      <family val="2"/>
    </font>
    <font>
      <b/>
      <u/>
      <sz val="9"/>
      <color theme="0" tint="-0.499984740745262"/>
      <name val="Arial"/>
      <family val="2"/>
    </font>
    <font>
      <b/>
      <sz val="9"/>
      <color theme="0" tint="-0.499984740745262"/>
      <name val="Arial"/>
      <family val="2"/>
    </font>
    <font>
      <sz val="10"/>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xf numFmtId="3" fontId="3" fillId="3" borderId="0" xfId="0" applyNumberFormat="1" applyFont="1" applyFill="1" applyAlignment="1">
      <alignment horizontal="center"/>
    </xf>
    <xf numFmtId="0" fontId="9" fillId="7" borderId="0" xfId="0" applyFont="1" applyFill="1" applyAlignment="1">
      <alignment horizontal="center" textRotation="90" wrapText="1"/>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10" fillId="0" borderId="0" xfId="0" applyFont="1" applyAlignment="1">
      <alignment horizontal="center" wrapText="1"/>
    </xf>
    <xf numFmtId="0" fontId="8" fillId="0" borderId="0" xfId="0" applyFont="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11" borderId="12" xfId="8" applyFont="1" applyFill="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0" fontId="18" fillId="0" borderId="11" xfId="0" applyFont="1" applyBorder="1" applyAlignment="1">
      <alignment vertical="center" wrapText="1"/>
    </xf>
    <xf numFmtId="44" fontId="8" fillId="0" borderId="21" xfId="8" applyFont="1" applyBorder="1" applyAlignment="1">
      <alignment horizontal="center" vertical="center" wrapText="1"/>
    </xf>
    <xf numFmtId="44" fontId="8" fillId="0" borderId="22" xfId="8" applyFont="1" applyBorder="1" applyAlignment="1">
      <alignment horizontal="center" vertical="center" wrapText="1"/>
    </xf>
    <xf numFmtId="44" fontId="8" fillId="0" borderId="23" xfId="8" applyFont="1" applyBorder="1" applyAlignment="1">
      <alignment horizontal="center" vertical="center" wrapText="1"/>
    </xf>
    <xf numFmtId="0" fontId="18" fillId="11" borderId="16" xfId="0" applyFont="1" applyFill="1" applyBorder="1" applyAlignment="1">
      <alignment vertical="center" wrapText="1"/>
    </xf>
    <xf numFmtId="0" fontId="18" fillId="0" borderId="24" xfId="0" applyFont="1" applyBorder="1" applyAlignment="1">
      <alignment vertical="center" wrapText="1"/>
    </xf>
    <xf numFmtId="44" fontId="8" fillId="0" borderId="25" xfId="8" applyFont="1" applyBorder="1" applyAlignment="1">
      <alignment horizontal="center" vertical="center" wrapText="1"/>
    </xf>
    <xf numFmtId="44" fontId="8" fillId="0" borderId="26" xfId="8" applyFont="1" applyBorder="1" applyAlignment="1">
      <alignment horizontal="center"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11" borderId="26"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8" fillId="11" borderId="27" xfId="8" applyFont="1" applyFill="1" applyBorder="1" applyAlignment="1">
      <alignment horizontal="center" vertical="center" wrapText="1"/>
    </xf>
    <xf numFmtId="44" fontId="3" fillId="0" borderId="21" xfId="8" applyFont="1" applyBorder="1" applyAlignment="1">
      <alignment horizontal="center" vertical="center" wrapText="1"/>
    </xf>
    <xf numFmtId="44" fontId="8" fillId="0" borderId="30" xfId="8" applyFont="1" applyBorder="1" applyAlignment="1">
      <alignment horizontal="center" vertical="center" wrapText="1"/>
    </xf>
    <xf numFmtId="44" fontId="3" fillId="11" borderId="31" xfId="8" applyFont="1" applyFill="1" applyBorder="1" applyAlignment="1">
      <alignment horizontal="center" vertical="center" wrapText="1"/>
    </xf>
    <xf numFmtId="44" fontId="8" fillId="11" borderId="33"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 xfId="8" applyFont="1" applyFill="1" applyBorder="1" applyAlignment="1">
      <alignment horizontal="center" vertical="center" wrapText="1"/>
    </xf>
    <xf numFmtId="0" fontId="8" fillId="0" borderId="20" xfId="0" applyFont="1" applyBorder="1" applyAlignment="1">
      <alignment vertical="center" wrapText="1"/>
    </xf>
    <xf numFmtId="0" fontId="8" fillId="11" borderId="20" xfId="0" applyFont="1" applyFill="1" applyBorder="1" applyAlignment="1">
      <alignment vertical="center" wrapText="1"/>
    </xf>
    <xf numFmtId="0" fontId="8" fillId="11" borderId="35" xfId="0" applyFont="1" applyFill="1" applyBorder="1" applyAlignment="1">
      <alignment vertical="center" wrapText="1"/>
    </xf>
    <xf numFmtId="0" fontId="18" fillId="0" borderId="34" xfId="0" applyFont="1" applyBorder="1" applyAlignment="1">
      <alignment vertical="center" wrapText="1"/>
    </xf>
    <xf numFmtId="0" fontId="18" fillId="11" borderId="20" xfId="0" applyFont="1" applyFill="1" applyBorder="1" applyAlignment="1">
      <alignment vertical="center" wrapText="1"/>
    </xf>
    <xf numFmtId="0" fontId="18" fillId="0" borderId="36" xfId="0" applyFont="1" applyBorder="1" applyAlignment="1">
      <alignment vertical="center" wrapText="1"/>
    </xf>
    <xf numFmtId="0" fontId="18" fillId="0" borderId="20" xfId="0" applyFont="1" applyBorder="1" applyAlignment="1">
      <alignment vertical="center" wrapText="1"/>
    </xf>
    <xf numFmtId="0" fontId="3" fillId="0" borderId="34" xfId="0" applyFont="1" applyBorder="1" applyAlignment="1">
      <alignment vertical="center" wrapText="1"/>
    </xf>
    <xf numFmtId="0" fontId="3" fillId="11" borderId="36"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39" xfId="0" applyNumberFormat="1" applyFont="1" applyFill="1" applyBorder="1" applyAlignment="1">
      <alignment horizontal="center" vertical="center" wrapText="1"/>
    </xf>
    <xf numFmtId="169" fontId="2" fillId="3" borderId="40"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1" xfId="0" applyNumberFormat="1" applyFont="1" applyFill="1" applyBorder="1" applyAlignment="1">
      <alignment horizontal="center" vertical="center" wrapText="1"/>
    </xf>
    <xf numFmtId="169" fontId="2" fillId="3" borderId="42" xfId="0" applyNumberFormat="1" applyFont="1" applyFill="1" applyBorder="1" applyAlignment="1">
      <alignment horizontal="center" vertical="center" wrapText="1"/>
    </xf>
    <xf numFmtId="44" fontId="8" fillId="0" borderId="34" xfId="8" applyFont="1" applyBorder="1" applyAlignment="1">
      <alignment horizontal="center" vertical="center" wrapText="1"/>
    </xf>
    <xf numFmtId="44" fontId="8" fillId="11" borderId="20" xfId="8" applyFont="1" applyFill="1" applyBorder="1" applyAlignment="1">
      <alignment horizontal="center" vertical="center" wrapText="1"/>
    </xf>
    <xf numFmtId="44" fontId="8" fillId="0" borderId="20" xfId="8" applyFont="1" applyBorder="1" applyAlignment="1">
      <alignment horizontal="center" vertical="center" wrapText="1"/>
    </xf>
    <xf numFmtId="44" fontId="8" fillId="11" borderId="36" xfId="8" applyFont="1" applyFill="1" applyBorder="1" applyAlignment="1">
      <alignment horizontal="center" vertical="center" wrapText="1"/>
    </xf>
    <xf numFmtId="0" fontId="8" fillId="0" borderId="34" xfId="0" applyFont="1" applyBorder="1" applyAlignment="1">
      <alignment vertical="center" wrapText="1"/>
    </xf>
    <xf numFmtId="44" fontId="8" fillId="0" borderId="45" xfId="8" applyFont="1" applyBorder="1" applyAlignment="1">
      <alignment horizontal="center" vertical="center" wrapText="1"/>
    </xf>
    <xf numFmtId="44" fontId="8" fillId="11" borderId="46" xfId="8" applyFont="1" applyFill="1" applyBorder="1" applyAlignment="1">
      <alignment horizontal="center" vertical="center" wrapText="1"/>
    </xf>
    <xf numFmtId="44" fontId="8" fillId="0" borderId="46"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0" xfId="0" applyNumberFormat="1"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11" borderId="54" xfId="8" applyFont="1" applyFill="1" applyBorder="1" applyAlignment="1">
      <alignment horizontal="center" vertical="center" wrapText="1"/>
    </xf>
    <xf numFmtId="44" fontId="8" fillId="11" borderId="47" xfId="8" applyFont="1" applyFill="1" applyBorder="1" applyAlignment="1">
      <alignment horizontal="center" vertical="center" wrapText="1"/>
    </xf>
    <xf numFmtId="44" fontId="8" fillId="0" borderId="49" xfId="8" applyFont="1" applyBorder="1" applyAlignment="1">
      <alignment horizontal="center" vertical="center" wrapText="1"/>
    </xf>
    <xf numFmtId="44" fontId="8" fillId="0" borderId="55" xfId="8" applyFont="1" applyBorder="1" applyAlignment="1">
      <alignment horizontal="center" vertical="center" wrapText="1"/>
    </xf>
    <xf numFmtId="0" fontId="8" fillId="13" borderId="20" xfId="0" applyFont="1" applyFill="1" applyBorder="1" applyAlignment="1">
      <alignment vertical="center" wrapText="1"/>
    </xf>
    <xf numFmtId="44" fontId="8" fillId="13" borderId="13" xfId="8" applyFont="1" applyFill="1" applyBorder="1" applyAlignment="1">
      <alignment horizontal="center" vertical="center" wrapText="1"/>
    </xf>
    <xf numFmtId="44" fontId="8" fillId="13" borderId="15"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8"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9" xfId="8" applyFont="1" applyFill="1" applyBorder="1" applyAlignment="1">
      <alignment horizontal="center" vertical="center" wrapText="1"/>
    </xf>
    <xf numFmtId="0" fontId="18" fillId="11" borderId="38" xfId="0" applyFont="1" applyFill="1" applyBorder="1" applyAlignment="1">
      <alignment vertical="center" wrapText="1"/>
    </xf>
    <xf numFmtId="44" fontId="8" fillId="0" borderId="51" xfId="8" applyFont="1" applyFill="1" applyBorder="1" applyAlignment="1">
      <alignment horizontal="center" vertical="center" wrapText="1"/>
    </xf>
    <xf numFmtId="44" fontId="8" fillId="0" borderId="52" xfId="8" applyFont="1" applyFill="1" applyBorder="1" applyAlignment="1">
      <alignment horizontal="center" vertical="center" wrapText="1"/>
    </xf>
    <xf numFmtId="44" fontId="8" fillId="0" borderId="47" xfId="8" applyFont="1" applyFill="1" applyBorder="1" applyAlignment="1">
      <alignment horizontal="center" vertical="center" wrapText="1"/>
    </xf>
    <xf numFmtId="0" fontId="3" fillId="0" borderId="0" xfId="0" quotePrefix="1" applyFont="1"/>
    <xf numFmtId="44" fontId="3" fillId="0" borderId="35" xfId="8" applyFont="1" applyBorder="1"/>
    <xf numFmtId="44" fontId="3" fillId="0" borderId="0" xfId="8" applyFont="1" applyBorder="1"/>
    <xf numFmtId="44" fontId="3" fillId="0" borderId="19" xfId="8" applyFont="1" applyBorder="1"/>
    <xf numFmtId="44" fontId="3" fillId="0" borderId="36" xfId="8" applyFont="1" applyBorder="1"/>
    <xf numFmtId="44" fontId="3" fillId="0" borderId="37" xfId="8" applyFont="1" applyBorder="1"/>
    <xf numFmtId="44" fontId="3" fillId="0" borderId="27" xfId="8" applyFont="1" applyBorder="1"/>
    <xf numFmtId="44" fontId="8" fillId="6" borderId="5" xfId="8" applyFont="1" applyFill="1" applyBorder="1" applyAlignment="1">
      <alignment horizontal="center" vertical="center" wrapText="1"/>
    </xf>
    <xf numFmtId="0" fontId="3" fillId="11" borderId="38" xfId="0" applyFont="1" applyFill="1" applyBorder="1" applyAlignment="1">
      <alignment vertical="center" wrapText="1"/>
    </xf>
    <xf numFmtId="0" fontId="3" fillId="0" borderId="58" xfId="0" applyFont="1" applyBorder="1" applyAlignment="1">
      <alignment vertical="center" wrapText="1"/>
    </xf>
    <xf numFmtId="44" fontId="8" fillId="13" borderId="12" xfId="8" applyFont="1" applyFill="1" applyBorder="1" applyAlignment="1">
      <alignment horizontal="center" vertical="center" wrapText="1"/>
    </xf>
    <xf numFmtId="44" fontId="8" fillId="11" borderId="59" xfId="8" applyFont="1" applyFill="1" applyBorder="1" applyAlignment="1">
      <alignment horizontal="center" vertical="center" wrapText="1"/>
    </xf>
    <xf numFmtId="0" fontId="3" fillId="0" borderId="5" xfId="0" applyFont="1" applyBorder="1"/>
    <xf numFmtId="0" fontId="26" fillId="16" borderId="0" xfId="0" applyFont="1" applyFill="1" applyAlignment="1">
      <alignment horizontal="center" wrapText="1"/>
    </xf>
    <xf numFmtId="0" fontId="26" fillId="16" borderId="0" xfId="0" applyFont="1" applyFill="1" applyAlignment="1">
      <alignment horizontal="left" wrapText="1"/>
    </xf>
    <xf numFmtId="0" fontId="26" fillId="16" borderId="7" xfId="0" applyFont="1" applyFill="1" applyBorder="1" applyAlignment="1">
      <alignment horizontal="center" wrapText="1"/>
    </xf>
    <xf numFmtId="166" fontId="26" fillId="16" borderId="0" xfId="0" applyNumberFormat="1" applyFont="1" applyFill="1" applyAlignment="1">
      <alignment horizontal="center" vertical="center"/>
    </xf>
    <xf numFmtId="0" fontId="26" fillId="16" borderId="0" xfId="0" applyFont="1" applyFill="1" applyAlignment="1">
      <alignment vertical="top" wrapText="1"/>
    </xf>
    <xf numFmtId="167" fontId="26" fillId="16" borderId="0" xfId="0" applyNumberFormat="1" applyFont="1" applyFill="1" applyAlignment="1">
      <alignment horizontal="center" wrapText="1"/>
    </xf>
    <xf numFmtId="0" fontId="26" fillId="6" borderId="0" xfId="0" applyFont="1" applyFill="1" applyAlignment="1">
      <alignment horizontal="center" wrapText="1"/>
    </xf>
    <xf numFmtId="0" fontId="29" fillId="6" borderId="0" xfId="0" applyFont="1" applyFill="1" applyAlignment="1">
      <alignment horizontal="left" wrapText="1"/>
    </xf>
    <xf numFmtId="0" fontId="29" fillId="17" borderId="0" xfId="0" applyFont="1" applyFill="1" applyAlignment="1">
      <alignment horizontal="left" wrapText="1"/>
    </xf>
    <xf numFmtId="0" fontId="29" fillId="17" borderId="0" xfId="0" applyFont="1" applyFill="1" applyAlignment="1">
      <alignment horizontal="center" wrapText="1"/>
    </xf>
    <xf numFmtId="0" fontId="29" fillId="17" borderId="0" xfId="0" applyFont="1" applyFill="1" applyAlignment="1">
      <alignment wrapText="1"/>
    </xf>
    <xf numFmtId="0" fontId="22" fillId="15" borderId="0" xfId="0" applyFont="1" applyFill="1" applyAlignment="1">
      <alignment horizontal="center" wrapText="1"/>
    </xf>
    <xf numFmtId="0" fontId="23" fillId="6" borderId="0" xfId="0" applyFont="1" applyFill="1" applyAlignment="1">
      <alignment horizontal="left" wrapText="1"/>
    </xf>
    <xf numFmtId="166" fontId="23" fillId="6" borderId="0" xfId="0" applyNumberFormat="1" applyFont="1" applyFill="1" applyAlignment="1" applyProtection="1">
      <alignment horizontal="center" vertical="center"/>
      <protection hidden="1"/>
    </xf>
    <xf numFmtId="0" fontId="23" fillId="2" borderId="0" xfId="0" applyFont="1" applyFill="1" applyAlignment="1">
      <alignment horizontal="center" wrapText="1"/>
    </xf>
    <xf numFmtId="0" fontId="28" fillId="2" borderId="0" xfId="0" applyFont="1" applyFill="1" applyAlignment="1">
      <alignment wrapText="1"/>
    </xf>
    <xf numFmtId="166" fontId="23" fillId="6" borderId="63" xfId="0" applyNumberFormat="1" applyFont="1" applyFill="1" applyBorder="1" applyAlignment="1" applyProtection="1">
      <alignment horizontal="center" vertical="center"/>
      <protection hidden="1"/>
    </xf>
    <xf numFmtId="0" fontId="24" fillId="14" borderId="62" xfId="0" applyFont="1" applyFill="1" applyBorder="1" applyAlignment="1" applyProtection="1">
      <alignment horizontal="center" wrapText="1"/>
      <protection locked="0"/>
    </xf>
    <xf numFmtId="0" fontId="24" fillId="14" borderId="60" xfId="0" applyFont="1" applyFill="1" applyBorder="1" applyAlignment="1" applyProtection="1">
      <alignment horizontal="center" wrapText="1"/>
      <protection locked="0"/>
    </xf>
    <xf numFmtId="0" fontId="26" fillId="17" borderId="0" xfId="0" applyFont="1" applyFill="1" applyAlignment="1">
      <alignment horizontal="center" wrapText="1"/>
    </xf>
    <xf numFmtId="0" fontId="26" fillId="2" borderId="0" xfId="0" applyFont="1" applyFill="1" applyAlignment="1">
      <alignment horizontal="center" wrapText="1"/>
    </xf>
    <xf numFmtId="168" fontId="24" fillId="14" borderId="60" xfId="0" applyNumberFormat="1" applyFont="1" applyFill="1" applyBorder="1" applyAlignment="1" applyProtection="1">
      <alignment horizontal="center" vertical="center"/>
      <protection locked="0"/>
    </xf>
    <xf numFmtId="166" fontId="27" fillId="6" borderId="64" xfId="0" applyNumberFormat="1" applyFont="1" applyFill="1" applyBorder="1" applyAlignment="1" applyProtection="1">
      <alignment horizontal="center" vertical="center"/>
      <protection hidden="1"/>
    </xf>
    <xf numFmtId="0" fontId="27" fillId="6" borderId="0" xfId="0" applyFont="1" applyFill="1" applyAlignment="1">
      <alignment horizontal="left" wrapText="1"/>
    </xf>
    <xf numFmtId="44" fontId="3" fillId="0" borderId="0" xfId="0" applyNumberFormat="1" applyFont="1"/>
    <xf numFmtId="9" fontId="26" fillId="6" borderId="0" xfId="9" applyFont="1" applyFill="1" applyBorder="1" applyAlignment="1" applyProtection="1">
      <alignment horizontal="center" wrapText="1"/>
    </xf>
    <xf numFmtId="0" fontId="23" fillId="16" borderId="0" xfId="0" applyFont="1" applyFill="1" applyAlignment="1">
      <alignment horizontal="left" wrapText="1"/>
    </xf>
    <xf numFmtId="0" fontId="23" fillId="16" borderId="0" xfId="0" applyFont="1" applyFill="1" applyAlignment="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0" borderId="66" xfId="8" applyFont="1" applyBorder="1" applyAlignment="1">
      <alignment horizontal="center" vertical="center" wrapText="1"/>
    </xf>
    <xf numFmtId="44" fontId="8" fillId="11" borderId="52" xfId="8" applyFont="1" applyFill="1" applyBorder="1" applyAlignment="1">
      <alignment horizontal="center" vertical="center" wrapText="1"/>
    </xf>
    <xf numFmtId="44" fontId="8" fillId="0" borderId="52" xfId="8" applyFont="1" applyBorder="1" applyAlignment="1">
      <alignment horizontal="center" vertical="center" wrapText="1"/>
    </xf>
    <xf numFmtId="44" fontId="8" fillId="13" borderId="52" xfId="8" applyFont="1" applyFill="1" applyBorder="1" applyAlignment="1">
      <alignment horizontal="center" vertical="center" wrapText="1"/>
    </xf>
    <xf numFmtId="44" fontId="8" fillId="6" borderId="51" xfId="8" applyFont="1" applyFill="1" applyBorder="1" applyAlignment="1">
      <alignment horizontal="center" vertical="center" wrapText="1"/>
    </xf>
    <xf numFmtId="44" fontId="8" fillId="6" borderId="66" xfId="8" applyFont="1" applyFill="1" applyBorder="1" applyAlignment="1">
      <alignment horizontal="center" vertical="center" wrapText="1"/>
    </xf>
    <xf numFmtId="44" fontId="8" fillId="6" borderId="67" xfId="8" applyFont="1" applyFill="1" applyBorder="1" applyAlignment="1">
      <alignment horizontal="center" vertical="center" wrapText="1"/>
    </xf>
    <xf numFmtId="44" fontId="8" fillId="6" borderId="52" xfId="8" applyFont="1" applyFill="1" applyBorder="1" applyAlignment="1">
      <alignment horizontal="center" vertical="center" wrapText="1"/>
    </xf>
    <xf numFmtId="44" fontId="8" fillId="6" borderId="68" xfId="8" applyFont="1" applyFill="1" applyBorder="1" applyAlignment="1">
      <alignment horizontal="center" vertical="center" wrapText="1"/>
    </xf>
    <xf numFmtId="44" fontId="8" fillId="6" borderId="47" xfId="8" applyFont="1" applyFill="1" applyBorder="1" applyAlignment="1">
      <alignment horizontal="center" vertical="center" wrapText="1"/>
    </xf>
    <xf numFmtId="44" fontId="8" fillId="6" borderId="53" xfId="8" applyFont="1" applyFill="1" applyBorder="1" applyAlignment="1">
      <alignment horizontal="center" vertical="center" wrapText="1"/>
    </xf>
    <xf numFmtId="44" fontId="8" fillId="6" borderId="54" xfId="8" applyFont="1" applyFill="1" applyBorder="1" applyAlignment="1">
      <alignment horizontal="center" vertical="center" wrapText="1"/>
    </xf>
    <xf numFmtId="44" fontId="0" fillId="0" borderId="0" xfId="0" applyNumberFormat="1"/>
    <xf numFmtId="0" fontId="31" fillId="16" borderId="0" xfId="0" applyFont="1" applyFill="1" applyAlignment="1">
      <alignment horizontal="left" wrapText="1"/>
    </xf>
    <xf numFmtId="0" fontId="31" fillId="16" borderId="0" xfId="0" applyFont="1" applyFill="1" applyAlignment="1">
      <alignment horizontal="center" wrapText="1"/>
    </xf>
    <xf numFmtId="44" fontId="8" fillId="0" borderId="70" xfId="8" applyFont="1" applyBorder="1" applyAlignment="1">
      <alignment horizontal="center" vertical="center" wrapText="1"/>
    </xf>
    <xf numFmtId="44" fontId="8" fillId="0" borderId="71" xfId="8" applyFont="1" applyBorder="1" applyAlignment="1">
      <alignment horizontal="center" vertical="center" wrapText="1"/>
    </xf>
    <xf numFmtId="44" fontId="8" fillId="0" borderId="69" xfId="8" applyFont="1" applyBorder="1" applyAlignment="1">
      <alignment horizontal="center" vertical="center" wrapText="1"/>
    </xf>
    <xf numFmtId="44" fontId="8" fillId="11" borderId="68" xfId="8" applyFont="1" applyFill="1" applyBorder="1" applyAlignment="1">
      <alignment horizontal="center" vertical="center" wrapText="1"/>
    </xf>
    <xf numFmtId="44" fontId="8" fillId="0" borderId="68" xfId="8" applyFont="1" applyBorder="1" applyAlignment="1">
      <alignment horizontal="center" vertical="center" wrapText="1"/>
    </xf>
    <xf numFmtId="44" fontId="8" fillId="11" borderId="69" xfId="8" applyFont="1" applyFill="1" applyBorder="1" applyAlignment="1">
      <alignment horizontal="center" vertical="center" wrapText="1"/>
    </xf>
    <xf numFmtId="44" fontId="8" fillId="13" borderId="69" xfId="8" applyFont="1" applyFill="1" applyBorder="1" applyAlignment="1">
      <alignment horizontal="center" vertical="center" wrapText="1"/>
    </xf>
    <xf numFmtId="44" fontId="8" fillId="13" borderId="68" xfId="8" applyFont="1" applyFill="1" applyBorder="1" applyAlignment="1">
      <alignment horizontal="center" vertical="center" wrapText="1"/>
    </xf>
    <xf numFmtId="44" fontId="17" fillId="0" borderId="52" xfId="8" applyFont="1" applyFill="1" applyBorder="1" applyAlignment="1">
      <alignment vertical="center" wrapText="1"/>
    </xf>
    <xf numFmtId="44" fontId="17" fillId="0" borderId="5" xfId="8" applyFont="1" applyFill="1" applyBorder="1" applyAlignment="1">
      <alignment vertical="center" wrapText="1"/>
    </xf>
    <xf numFmtId="44" fontId="17" fillId="0" borderId="69" xfId="8" applyFont="1" applyFill="1" applyBorder="1" applyAlignment="1">
      <alignment vertical="center" wrapText="1"/>
    </xf>
    <xf numFmtId="44" fontId="8" fillId="11" borderId="72" xfId="8" applyFont="1" applyFill="1" applyBorder="1" applyAlignment="1">
      <alignment horizontal="center" vertical="center" wrapText="1"/>
    </xf>
    <xf numFmtId="44" fontId="8" fillId="0" borderId="72" xfId="8" applyFont="1" applyBorder="1" applyAlignment="1">
      <alignment horizontal="center" vertical="center" wrapText="1"/>
    </xf>
    <xf numFmtId="44" fontId="3" fillId="0" borderId="22" xfId="8" applyFont="1" applyBorder="1" applyAlignment="1">
      <alignment horizontal="center" vertical="center" wrapText="1"/>
    </xf>
    <xf numFmtId="44" fontId="3" fillId="0" borderId="23" xfId="8" applyFont="1" applyBorder="1" applyAlignment="1">
      <alignment horizontal="center" vertical="center" wrapText="1"/>
    </xf>
    <xf numFmtId="44" fontId="3" fillId="11" borderId="32" xfId="8" applyFont="1" applyFill="1" applyBorder="1" applyAlignment="1">
      <alignment horizontal="center" vertical="center" wrapText="1"/>
    </xf>
    <xf numFmtId="44" fontId="3" fillId="11" borderId="73" xfId="8" applyFont="1" applyFill="1" applyBorder="1" applyAlignment="1">
      <alignment horizontal="center" vertical="center" wrapText="1"/>
    </xf>
    <xf numFmtId="44" fontId="3" fillId="11" borderId="33" xfId="8" applyFont="1" applyFill="1" applyBorder="1" applyAlignment="1">
      <alignment horizontal="center" vertical="center" wrapText="1"/>
    </xf>
    <xf numFmtId="44" fontId="8" fillId="0" borderId="74" xfId="8" applyFont="1" applyBorder="1" applyAlignment="1">
      <alignment horizontal="center" vertical="center" wrapText="1"/>
    </xf>
    <xf numFmtId="44" fontId="3" fillId="11" borderId="29" xfId="8" applyFont="1" applyFill="1" applyBorder="1" applyAlignment="1">
      <alignment horizontal="center" vertical="center" wrapText="1"/>
    </xf>
    <xf numFmtId="0" fontId="32" fillId="16" borderId="0" xfId="0" applyFont="1" applyFill="1" applyAlignment="1">
      <alignment horizontal="center" wrapText="1"/>
    </xf>
    <xf numFmtId="0" fontId="32" fillId="16" borderId="0" xfId="0" applyFont="1" applyFill="1" applyAlignment="1">
      <alignment horizontal="left" wrapText="1"/>
    </xf>
    <xf numFmtId="0" fontId="33" fillId="16" borderId="0" xfId="0" applyFont="1" applyFill="1" applyAlignment="1">
      <alignment horizontal="center" wrapText="1"/>
    </xf>
    <xf numFmtId="0" fontId="34" fillId="16" borderId="0" xfId="0" applyFont="1" applyFill="1" applyAlignment="1">
      <alignment horizontal="center" wrapText="1"/>
    </xf>
    <xf numFmtId="44" fontId="3" fillId="0" borderId="51" xfId="8" applyFont="1" applyBorder="1" applyAlignment="1">
      <alignment vertical="center" wrapText="1"/>
    </xf>
    <xf numFmtId="44" fontId="3" fillId="0" borderId="75" xfId="8" applyFont="1" applyBorder="1" applyAlignment="1">
      <alignment vertical="center" wrapText="1"/>
    </xf>
    <xf numFmtId="44" fontId="3" fillId="0" borderId="59" xfId="8" applyFont="1" applyBorder="1" applyAlignment="1">
      <alignment vertical="center" wrapText="1"/>
    </xf>
    <xf numFmtId="44" fontId="3" fillId="0" borderId="24" xfId="8" applyFont="1" applyBorder="1" applyAlignment="1">
      <alignment vertical="center" wrapText="1"/>
    </xf>
    <xf numFmtId="8" fontId="8" fillId="0" borderId="49" xfId="8" applyNumberFormat="1" applyFont="1" applyBorder="1" applyAlignment="1">
      <alignment horizontal="center" vertical="center" wrapText="1"/>
    </xf>
    <xf numFmtId="8" fontId="8" fillId="0" borderId="71" xfId="8" applyNumberFormat="1" applyFont="1" applyBorder="1" applyAlignment="1">
      <alignment horizontal="center" vertical="center" wrapText="1"/>
    </xf>
    <xf numFmtId="8" fontId="8" fillId="11" borderId="53" xfId="8" applyNumberFormat="1" applyFont="1" applyFill="1" applyBorder="1" applyAlignment="1">
      <alignment horizontal="center" vertical="center" wrapText="1"/>
    </xf>
    <xf numFmtId="8" fontId="8" fillId="11" borderId="54" xfId="8" applyNumberFormat="1" applyFont="1" applyFill="1" applyBorder="1" applyAlignment="1">
      <alignment horizontal="center" vertical="center" wrapText="1"/>
    </xf>
    <xf numFmtId="44" fontId="35" fillId="11" borderId="53" xfId="8" applyFont="1" applyFill="1" applyBorder="1" applyAlignment="1">
      <alignment horizontal="center" vertical="center" wrapText="1"/>
    </xf>
    <xf numFmtId="44" fontId="35" fillId="11" borderId="72" xfId="8" applyFont="1" applyFill="1" applyBorder="1" applyAlignment="1">
      <alignment horizontal="center" vertical="center" wrapText="1"/>
    </xf>
    <xf numFmtId="8" fontId="3" fillId="0" borderId="51" xfId="8" applyNumberFormat="1" applyFont="1" applyBorder="1" applyAlignment="1">
      <alignment vertical="center" wrapText="1"/>
    </xf>
    <xf numFmtId="8" fontId="3" fillId="0" borderId="59" xfId="8" applyNumberFormat="1" applyFont="1" applyBorder="1" applyAlignment="1">
      <alignment vertical="center" wrapText="1"/>
    </xf>
    <xf numFmtId="0" fontId="26" fillId="15" borderId="0" xfId="0" applyFont="1" applyFill="1" applyAlignment="1">
      <alignment horizontal="center" wrapText="1"/>
    </xf>
    <xf numFmtId="0" fontId="25" fillId="15" borderId="0" xfId="0" applyFont="1" applyFill="1" applyAlignment="1">
      <alignment horizontal="left" vertical="center" wrapText="1"/>
    </xf>
    <xf numFmtId="0" fontId="21" fillId="15" borderId="0" xfId="0" applyFont="1" applyFill="1" applyAlignment="1">
      <alignment horizontal="left" vertical="center" wrapText="1" indent="1"/>
    </xf>
    <xf numFmtId="0" fontId="29" fillId="6" borderId="61" xfId="0" applyFont="1" applyFill="1" applyBorder="1" applyAlignment="1">
      <alignment horizontal="left" wrapText="1"/>
    </xf>
    <xf numFmtId="0" fontId="29" fillId="6" borderId="0" xfId="0" applyFont="1" applyFill="1" applyAlignment="1">
      <alignment horizontal="left" wrapText="1"/>
    </xf>
    <xf numFmtId="0" fontId="29" fillId="6" borderId="61" xfId="0" applyFont="1" applyFill="1" applyBorder="1" applyAlignment="1">
      <alignment horizontal="left"/>
    </xf>
    <xf numFmtId="0" fontId="29" fillId="6" borderId="0" xfId="0" applyFont="1" applyFill="1" applyAlignment="1">
      <alignment horizontal="left"/>
    </xf>
    <xf numFmtId="0" fontId="30" fillId="6" borderId="0" xfId="0" applyFont="1" applyFill="1" applyAlignment="1">
      <alignment horizontal="left" wrapText="1"/>
    </xf>
    <xf numFmtId="0" fontId="29" fillId="6" borderId="0" xfId="0" applyFont="1" applyFill="1" applyAlignment="1">
      <alignment horizontal="left" vertical="top" wrapText="1"/>
    </xf>
    <xf numFmtId="0" fontId="25" fillId="15" borderId="65" xfId="0" applyFont="1" applyFill="1" applyBorder="1" applyAlignment="1">
      <alignment horizontal="left" wrapText="1"/>
    </xf>
    <xf numFmtId="0" fontId="25" fillId="15" borderId="0" xfId="0" applyFont="1" applyFill="1" applyAlignment="1">
      <alignment horizontal="left" wrapText="1"/>
    </xf>
    <xf numFmtId="0" fontId="10" fillId="0" borderId="0" xfId="0" applyFont="1" applyAlignment="1">
      <alignment horizontal="left" wrapText="1"/>
    </xf>
    <xf numFmtId="0" fontId="3" fillId="0" borderId="4"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19" fillId="0" borderId="0" xfId="0" applyFont="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Alignment="1">
      <alignment horizontal="center" vertical="top" wrapText="1"/>
    </xf>
    <xf numFmtId="0" fontId="16" fillId="10" borderId="8" xfId="0" applyFont="1" applyFill="1" applyBorder="1" applyAlignment="1">
      <alignment horizontal="center" vertical="top" wrapText="1"/>
    </xf>
    <xf numFmtId="0" fontId="16" fillId="10" borderId="38" xfId="0" applyFont="1" applyFill="1" applyBorder="1" applyAlignment="1">
      <alignment horizontal="center" vertical="top"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8" fillId="11" borderId="35" xfId="0" applyFont="1" applyFill="1" applyBorder="1" applyAlignment="1">
      <alignment horizontal="left" vertical="center" wrapText="1"/>
    </xf>
    <xf numFmtId="0" fontId="8" fillId="11" borderId="0" xfId="0" applyFont="1" applyFill="1" applyAlignment="1">
      <alignment horizontal="left" vertical="center" wrapText="1"/>
    </xf>
    <xf numFmtId="0" fontId="8" fillId="11" borderId="19"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20" fillId="0" borderId="35"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44" fontId="17" fillId="0" borderId="56" xfId="8" applyFont="1" applyFill="1" applyBorder="1" applyAlignment="1">
      <alignment horizontal="center" vertical="center" wrapText="1"/>
    </xf>
    <xf numFmtId="44" fontId="17" fillId="0" borderId="43" xfId="8" applyFont="1" applyFill="1" applyBorder="1" applyAlignment="1">
      <alignment horizontal="center" vertical="center" wrapText="1"/>
    </xf>
    <xf numFmtId="44" fontId="17" fillId="0" borderId="57" xfId="8"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48" xfId="0" applyFont="1" applyBorder="1" applyAlignment="1">
      <alignment horizontal="left" vertical="center" wrapText="1"/>
    </xf>
    <xf numFmtId="169" fontId="2" fillId="3" borderId="36" xfId="0" applyNumberFormat="1" applyFont="1" applyFill="1" applyBorder="1" applyAlignment="1">
      <alignment horizontal="center"/>
    </xf>
    <xf numFmtId="169" fontId="2" fillId="3" borderId="37" xfId="0" applyNumberFormat="1" applyFont="1" applyFill="1" applyBorder="1" applyAlignment="1">
      <alignment horizontal="center"/>
    </xf>
    <xf numFmtId="0" fontId="16" fillId="10" borderId="35" xfId="0" applyFont="1" applyFill="1" applyBorder="1" applyAlignment="1">
      <alignment horizontal="center" vertical="top" wrapText="1"/>
    </xf>
    <xf numFmtId="44" fontId="8" fillId="0" borderId="5" xfId="8" applyFont="1" applyFill="1" applyBorder="1" applyAlignment="1">
      <alignment horizontal="center" vertical="center" wrapText="1"/>
    </xf>
    <xf numFmtId="44" fontId="3" fillId="0" borderId="5" xfId="8" applyFont="1" applyFill="1" applyBorder="1"/>
  </cellXfs>
  <cellStyles count="10">
    <cellStyle name="20% - Accent5 2" xfId="6" xr:uid="{00000000-0005-0000-0000-000000000000}"/>
    <cellStyle name="Comma" xfId="1" builtinId="3"/>
    <cellStyle name="Currency" xfId="8" builtinId="4"/>
    <cellStyle name="Currency 2" xfId="4" xr:uid="{00000000-0005-0000-0000-000003000000}"/>
    <cellStyle name="Explanatory Text 2" xfId="3" xr:uid="{00000000-0005-0000-0000-000004000000}"/>
    <cellStyle name="Input 2" xfId="5" xr:uid="{00000000-0005-0000-0000-000005000000}"/>
    <cellStyle name="Normal" xfId="0" builtinId="0"/>
    <cellStyle name="Normal 2" xfId="2" xr:uid="{00000000-0005-0000-0000-000007000000}"/>
    <cellStyle name="Normal 3" xfId="7" xr:uid="{00000000-0005-0000-0000-000008000000}"/>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2022/23 Prices</c:v>
                </c:pt>
                <c:pt idx="1">
                  <c:v>2023/24 Prices</c:v>
                </c:pt>
              </c:strCache>
            </c:strRef>
          </c:cat>
          <c:val>
            <c:numRef>
              <c:f>Calculator!$C$28:$D$28</c:f>
              <c:numCache>
                <c:formatCode>#,##0.00;[Red]\(#,##0.00\);\-</c:formatCode>
                <c:ptCount val="2"/>
                <c:pt idx="0">
                  <c:v>8.68</c:v>
                </c:pt>
                <c:pt idx="1">
                  <c:v>8.89</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2022/23 Prices</c:v>
                </c:pt>
                <c:pt idx="1">
                  <c:v>2023/24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2022/23 Prices</c:v>
                </c:pt>
                <c:pt idx="1">
                  <c:v>2023/24 Prices</c:v>
                </c:pt>
              </c:strCache>
            </c:strRef>
          </c:cat>
          <c:val>
            <c:numRef>
              <c:f>Calculator!$C$30:$D$30</c:f>
              <c:numCache>
                <c:formatCode>#,##0.00;[Red]\(#,##0.00\);\-</c:formatCode>
                <c:ptCount val="2"/>
                <c:pt idx="0">
                  <c:v>6.21</c:v>
                </c:pt>
                <c:pt idx="1">
                  <c:v>6.36</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2022/23 Prices</c:v>
                </c:pt>
                <c:pt idx="1">
                  <c:v>2023/24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2022/23 Prices</c:v>
                </c:pt>
                <c:pt idx="1">
                  <c:v>2023/24 Prices</c:v>
                </c:pt>
              </c:strCache>
            </c:strRef>
          </c:cat>
          <c:val>
            <c:numRef>
              <c:f>Calculator!$C$32:$D$32</c:f>
              <c:numCache>
                <c:formatCode>#,##0.00;[Red]\(#,##0.00\);\-</c:formatCode>
                <c:ptCount val="2"/>
                <c:pt idx="0">
                  <c:v>7.25</c:v>
                </c:pt>
                <c:pt idx="1">
                  <c:v>7.42</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2022/23 Prices</c:v>
                </c:pt>
                <c:pt idx="1">
                  <c:v>2023/24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15877</xdr:colOff>
      <xdr:row>1</xdr:row>
      <xdr:rowOff>399763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a:extLst xmlns:a="http://schemas.openxmlformats.org/drawingml/2006/main">
            <a:ext uri="{FF2B5EF4-FFF2-40B4-BE49-F238E27FC236}">
              <a16:creationId xmlns:a16="http://schemas.microsoft.com/office/drawing/2014/main" id="{5917CCC5-F5A1-415F-BC8C-968D4E76FFE1}"/>
            </a:ext>
          </a:extLst>
        </cdr:cNvPr>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wayscorporation.sharepoint.com/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rwayscorporation.sharepoint.com/Revenue/LookupAcc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irwayscorporation.sharepoint.com/sites/t/FinPlan/Pricing/Airways%20Pricing%20Examples%20F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oc"/>
      <sheetName val="doc table"/>
      <sheetName val="Lookup sheet"/>
      <sheetName val="Distance"/>
      <sheetName val="IFR_19_20 prices_344500"/>
      <sheetName val="IFR_19_20 prices_77000"/>
      <sheetName val="IFR_19_20 prices_19500"/>
      <sheetName val="IFR_19_20 prices_3900"/>
      <sheetName val="Mychecker"/>
      <sheetName val="Lists &amp; to do"/>
      <sheetName val="Airways Aerodrome"/>
      <sheetName val="Approach"/>
      <sheetName val="Unattended"/>
      <sheetName val="Enroute Domestic"/>
      <sheetName val="Enroute Oceanic"/>
    </sheetNames>
    <sheetDataSet>
      <sheetData sheetId="0"/>
      <sheetData sheetId="1"/>
      <sheetData sheetId="2"/>
      <sheetData sheetId="3"/>
      <sheetData sheetId="4"/>
      <sheetData sheetId="5"/>
      <sheetData sheetId="6"/>
      <sheetData sheetId="7"/>
      <sheetData sheetId="8"/>
      <sheetData sheetId="9"/>
      <sheetData sheetId="10">
        <row r="42">
          <cell r="B42" t="str">
            <v>2021/22 Prices</v>
          </cell>
          <cell r="C42" t="str">
            <v>2022/23 Prices</v>
          </cell>
          <cell r="D42" t="str">
            <v>2023/24 Prices</v>
          </cell>
          <cell r="E42" t="str">
            <v>2024/25 Prices</v>
          </cell>
          <cell r="F42" t="str">
            <v>2021/22 Prices</v>
          </cell>
          <cell r="G42" t="str">
            <v>2022/23 Prices</v>
          </cell>
          <cell r="H42" t="str">
            <v>2023/24 Prices</v>
          </cell>
          <cell r="I42" t="str">
            <v>2024/25 Prices</v>
          </cell>
          <cell r="J42" t="str">
            <v>2021/22 Prices</v>
          </cell>
          <cell r="K42" t="str">
            <v>2022/23 Prices</v>
          </cell>
          <cell r="L42" t="str">
            <v>2023/24 Prices</v>
          </cell>
          <cell r="M42" t="str">
            <v>2024/25 Prices</v>
          </cell>
          <cell r="N42" t="str">
            <v>2021/22 Prices</v>
          </cell>
          <cell r="O42" t="str">
            <v>2022/23 Prices</v>
          </cell>
          <cell r="P42" t="str">
            <v>2023/24 Prices</v>
          </cell>
          <cell r="Q42" t="str">
            <v>2024/25 Prices</v>
          </cell>
          <cell r="R42" t="str">
            <v>2021/22 Prices</v>
          </cell>
          <cell r="S42" t="str">
            <v>2022/23 Prices</v>
          </cell>
          <cell r="T42" t="str">
            <v>2023/24 Prices</v>
          </cell>
          <cell r="U42" t="str">
            <v>2024/25 Prices</v>
          </cell>
        </row>
      </sheetData>
      <sheetData sheetId="11">
        <row r="30">
          <cell r="B30">
            <v>5.64</v>
          </cell>
        </row>
      </sheetData>
      <sheetData sheetId="12">
        <row r="33">
          <cell r="B33">
            <v>3.44</v>
          </cell>
        </row>
      </sheetData>
      <sheetData sheetId="13">
        <row r="31">
          <cell r="B31">
            <v>6.58</v>
          </cell>
        </row>
      </sheetData>
      <sheetData sheetId="14">
        <row r="29">
          <cell r="B29">
            <v>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C00000"/>
    <pageSetUpPr fitToPage="1"/>
  </sheetPr>
  <dimension ref="A1:P111"/>
  <sheetViews>
    <sheetView showGridLines="0" tabSelected="1" topLeftCell="A2" zoomScaleNormal="100" workbookViewId="0">
      <selection activeCell="C23" sqref="C23"/>
    </sheetView>
  </sheetViews>
  <sheetFormatPr defaultColWidth="9.140625" defaultRowHeight="12" x14ac:dyDescent="0.2"/>
  <cols>
    <col min="1" max="1" width="1.5703125" style="126" customWidth="1"/>
    <col min="2" max="2" width="21.85546875" style="127" customWidth="1"/>
    <col min="3" max="6" width="19.7109375" style="126" customWidth="1"/>
    <col min="7" max="7" width="6.5703125" style="126" customWidth="1"/>
    <col min="8" max="10" width="22.42578125" style="126" customWidth="1"/>
    <col min="11" max="11" width="20.7109375" style="126" customWidth="1"/>
    <col min="12" max="12" width="2.5703125" style="126" customWidth="1"/>
    <col min="13" max="13" width="22" style="126" customWidth="1"/>
    <col min="14" max="14" width="13.5703125" style="126" bestFit="1" customWidth="1"/>
    <col min="15" max="16384" width="9.140625" style="126"/>
  </cols>
  <sheetData>
    <row r="1" spans="1:12" ht="6.6" customHeight="1" x14ac:dyDescent="0.2"/>
    <row r="2" spans="1:12" ht="56.45" customHeight="1" x14ac:dyDescent="0.2">
      <c r="A2" s="211" t="s">
        <v>0</v>
      </c>
      <c r="B2" s="211"/>
      <c r="C2" s="211"/>
      <c r="D2" s="211"/>
      <c r="E2" s="211"/>
      <c r="F2" s="211"/>
      <c r="G2" s="211"/>
      <c r="H2" s="211"/>
      <c r="I2" s="211"/>
      <c r="J2" s="211"/>
      <c r="K2" s="211"/>
      <c r="L2" s="211"/>
    </row>
    <row r="3" spans="1:12" ht="12.6" customHeight="1" x14ac:dyDescent="0.2">
      <c r="A3" s="128"/>
    </row>
    <row r="4" spans="1:12" ht="22.15" customHeight="1" x14ac:dyDescent="0.2">
      <c r="A4" s="128"/>
      <c r="B4" s="210" t="s">
        <v>1</v>
      </c>
      <c r="C4" s="210"/>
      <c r="D4" s="210"/>
      <c r="E4" s="210"/>
      <c r="F4" s="210"/>
    </row>
    <row r="5" spans="1:12" ht="13.9" customHeight="1" x14ac:dyDescent="0.2">
      <c r="A5" s="128"/>
      <c r="B5" s="213" t="s">
        <v>2</v>
      </c>
      <c r="C5" s="213"/>
      <c r="D5" s="213"/>
      <c r="E5" s="213"/>
      <c r="F5" s="213"/>
    </row>
    <row r="6" spans="1:12" ht="11.45" customHeight="1" x14ac:dyDescent="0.2">
      <c r="A6" s="128"/>
      <c r="B6" s="213" t="s">
        <v>3</v>
      </c>
      <c r="C6" s="213"/>
      <c r="D6" s="213"/>
      <c r="E6" s="213"/>
      <c r="F6" s="213"/>
    </row>
    <row r="7" spans="1:12" x14ac:dyDescent="0.2">
      <c r="A7" s="128"/>
      <c r="B7" s="216" t="s">
        <v>4</v>
      </c>
      <c r="C7" s="213"/>
      <c r="D7" s="213"/>
      <c r="E7" s="213"/>
      <c r="F7" s="213"/>
    </row>
    <row r="8" spans="1:12" ht="12" customHeight="1" x14ac:dyDescent="0.2">
      <c r="A8" s="128"/>
      <c r="B8" s="213" t="s">
        <v>5</v>
      </c>
      <c r="C8" s="213"/>
      <c r="D8" s="213"/>
      <c r="E8" s="213"/>
      <c r="F8" s="213"/>
    </row>
    <row r="9" spans="1:12" ht="12" customHeight="1" x14ac:dyDescent="0.2">
      <c r="A9" s="128"/>
      <c r="B9" s="213" t="s">
        <v>6</v>
      </c>
      <c r="C9" s="213"/>
      <c r="D9" s="213"/>
      <c r="E9" s="213"/>
      <c r="F9" s="213"/>
    </row>
    <row r="10" spans="1:12" ht="12" customHeight="1" x14ac:dyDescent="0.2">
      <c r="A10" s="128"/>
      <c r="B10" s="213" t="s">
        <v>7</v>
      </c>
      <c r="C10" s="213"/>
      <c r="D10" s="213"/>
      <c r="E10" s="213"/>
      <c r="F10" s="213"/>
    </row>
    <row r="11" spans="1:12" ht="12" customHeight="1" x14ac:dyDescent="0.2">
      <c r="A11" s="128"/>
      <c r="B11" s="213" t="s">
        <v>8</v>
      </c>
      <c r="C11" s="213"/>
      <c r="D11" s="213"/>
      <c r="E11" s="213"/>
      <c r="F11" s="213"/>
    </row>
    <row r="12" spans="1:12" ht="23.25" customHeight="1" x14ac:dyDescent="0.2">
      <c r="A12" s="128"/>
      <c r="B12" s="213" t="s">
        <v>9</v>
      </c>
      <c r="C12" s="213"/>
      <c r="D12" s="213"/>
      <c r="E12" s="213"/>
      <c r="F12" s="213"/>
    </row>
    <row r="13" spans="1:12" ht="22.5" customHeight="1" x14ac:dyDescent="0.2">
      <c r="A13" s="128"/>
      <c r="B13" s="213" t="s">
        <v>10</v>
      </c>
      <c r="C13" s="213"/>
      <c r="D13" s="213"/>
      <c r="E13" s="213"/>
      <c r="F13" s="213"/>
    </row>
    <row r="14" spans="1:12" ht="10.5" customHeight="1" x14ac:dyDescent="0.2">
      <c r="A14" s="128"/>
      <c r="B14" s="213" t="s">
        <v>11</v>
      </c>
      <c r="C14" s="213"/>
      <c r="D14" s="213"/>
      <c r="E14" s="213"/>
      <c r="F14" s="213"/>
    </row>
    <row r="15" spans="1:12" ht="23.25" customHeight="1" x14ac:dyDescent="0.2">
      <c r="A15" s="128"/>
      <c r="B15" s="213" t="s">
        <v>12</v>
      </c>
      <c r="C15" s="213"/>
      <c r="D15" s="213"/>
      <c r="E15" s="213"/>
      <c r="F15" s="213"/>
    </row>
    <row r="16" spans="1:12" x14ac:dyDescent="0.2">
      <c r="A16" s="128"/>
    </row>
    <row r="17" spans="1:7" ht="21.6" customHeight="1" x14ac:dyDescent="0.2">
      <c r="A17" s="128"/>
      <c r="B17" s="210" t="s">
        <v>13</v>
      </c>
      <c r="C17" s="210"/>
      <c r="D17" s="137"/>
      <c r="E17" s="137"/>
      <c r="F17" s="137"/>
      <c r="G17" s="135"/>
    </row>
    <row r="18" spans="1:7" x14ac:dyDescent="0.2">
      <c r="A18" s="128"/>
      <c r="B18" s="133" t="s">
        <v>14</v>
      </c>
      <c r="C18" s="144" t="s">
        <v>74</v>
      </c>
      <c r="D18" s="212" t="s">
        <v>16</v>
      </c>
      <c r="E18" s="213"/>
      <c r="F18" s="213"/>
      <c r="G18" s="135"/>
    </row>
    <row r="19" spans="1:7" x14ac:dyDescent="0.2">
      <c r="A19" s="128"/>
      <c r="B19" s="133" t="s">
        <v>17</v>
      </c>
      <c r="C19" s="144" t="s">
        <v>18</v>
      </c>
      <c r="D19" s="214" t="s">
        <v>19</v>
      </c>
      <c r="E19" s="215"/>
      <c r="F19" s="215"/>
      <c r="G19" s="135"/>
    </row>
    <row r="20" spans="1:7" x14ac:dyDescent="0.2">
      <c r="A20" s="128"/>
      <c r="B20" s="133" t="s">
        <v>20</v>
      </c>
      <c r="C20" s="147">
        <v>1156</v>
      </c>
      <c r="D20" s="214" t="s">
        <v>21</v>
      </c>
      <c r="E20" s="215"/>
      <c r="F20" s="215"/>
      <c r="G20" s="135"/>
    </row>
    <row r="21" spans="1:7" x14ac:dyDescent="0.2">
      <c r="A21" s="128"/>
      <c r="B21" s="133" t="s">
        <v>22</v>
      </c>
      <c r="C21" s="147"/>
      <c r="D21" s="212" t="s">
        <v>23</v>
      </c>
      <c r="E21" s="213"/>
      <c r="F21" s="213"/>
      <c r="G21" s="136"/>
    </row>
    <row r="22" spans="1:7" ht="24" x14ac:dyDescent="0.2">
      <c r="A22" s="128"/>
      <c r="B22" s="133" t="s">
        <v>24</v>
      </c>
      <c r="C22" s="147">
        <v>83</v>
      </c>
      <c r="D22" s="212" t="s">
        <v>25</v>
      </c>
      <c r="E22" s="213"/>
      <c r="F22" s="213"/>
      <c r="G22" s="136"/>
    </row>
    <row r="23" spans="1:7" ht="24" x14ac:dyDescent="0.2">
      <c r="A23" s="128"/>
      <c r="B23" s="133" t="s">
        <v>26</v>
      </c>
      <c r="C23" s="147">
        <v>0</v>
      </c>
      <c r="D23" s="212" t="s">
        <v>27</v>
      </c>
      <c r="E23" s="213"/>
      <c r="F23" s="213"/>
      <c r="G23" s="135"/>
    </row>
    <row r="24" spans="1:7" x14ac:dyDescent="0.2">
      <c r="A24" s="128"/>
      <c r="B24" s="134"/>
      <c r="C24" s="135"/>
      <c r="D24" s="135"/>
      <c r="E24" s="135"/>
      <c r="F24" s="135"/>
      <c r="G24" s="135"/>
    </row>
    <row r="25" spans="1:7" ht="15.75" x14ac:dyDescent="0.2">
      <c r="A25" s="128"/>
      <c r="B25" s="210" t="s">
        <v>28</v>
      </c>
      <c r="C25" s="210"/>
      <c r="D25" s="137"/>
      <c r="E25" s="137"/>
      <c r="F25" s="137"/>
      <c r="G25" s="135"/>
    </row>
    <row r="26" spans="1:7" ht="24" customHeight="1" x14ac:dyDescent="0.2">
      <c r="A26" s="128"/>
      <c r="B26" s="140"/>
      <c r="C26" s="140" t="str">
        <f>VLOOKUP(D26,C58:D60,2,FALSE)</f>
        <v>2022/23 Prices</v>
      </c>
      <c r="D26" s="143" t="s">
        <v>190</v>
      </c>
      <c r="E26" s="140" t="s">
        <v>29</v>
      </c>
      <c r="F26" s="140"/>
    </row>
    <row r="27" spans="1:7" x14ac:dyDescent="0.2">
      <c r="A27" s="128"/>
      <c r="B27" s="141"/>
      <c r="C27" s="140" t="s">
        <v>30</v>
      </c>
      <c r="D27" s="140" t="s">
        <v>30</v>
      </c>
      <c r="E27" s="140" t="s">
        <v>31</v>
      </c>
      <c r="F27" s="146"/>
    </row>
    <row r="28" spans="1:7" x14ac:dyDescent="0.2">
      <c r="A28" s="128"/>
      <c r="B28" s="138" t="s">
        <v>32</v>
      </c>
      <c r="C28" s="139">
        <f>IFERROR((HLOOKUP(C$26,'Airways Aerodrome'!$C$87:$G$94,8,FALSE)),0)</f>
        <v>8.68</v>
      </c>
      <c r="D28" s="139">
        <f>IFERROR((HLOOKUP(D$26,'Airways Aerodrome'!$C$87:$G$94,8,FALSE)),0)</f>
        <v>8.89</v>
      </c>
      <c r="E28" s="139">
        <f>IF(ISERROR(D28-C28),0,(D28-C28))</f>
        <v>0.21000000000000085</v>
      </c>
      <c r="F28" s="151"/>
    </row>
    <row r="29" spans="1:7" x14ac:dyDescent="0.2">
      <c r="A29" s="128"/>
      <c r="B29" s="138" t="s">
        <v>33</v>
      </c>
      <c r="C29" s="139">
        <f>IFERROR(((VLOOKUP($C$18,'Airways Aerodrome'!$A$43:$Q$61,HLOOKUP(C26,'Airways Aerodrome'!N42:Q63,22,FALSE),FALSE))*$C$21),0)</f>
        <v>0</v>
      </c>
      <c r="D29" s="139">
        <f>IFERROR(((VLOOKUP($C$18,'Airways Aerodrome'!$A$43:$Q$61,HLOOKUP(D26,'Airways Aerodrome'!O42:R63,22,FALSE),FALSE))*$C$21),0)</f>
        <v>0</v>
      </c>
      <c r="E29" s="139">
        <f>D29-C29</f>
        <v>0</v>
      </c>
      <c r="F29" s="151"/>
    </row>
    <row r="30" spans="1:7" x14ac:dyDescent="0.2">
      <c r="A30" s="128"/>
      <c r="B30" s="138" t="s">
        <v>34</v>
      </c>
      <c r="C30" s="139">
        <f>IFERROR((IF($C$19="VFR",0,HLOOKUP(C$26,Approach!$C$76:$G$83,8,FALSE))),0)</f>
        <v>6.21</v>
      </c>
      <c r="D30" s="139">
        <f>IFERROR((IF($C$19="VFR",0,HLOOKUP(D$26,Approach!$C$76:$G$83,8,FALSE))),0)</f>
        <v>6.36</v>
      </c>
      <c r="E30" s="139">
        <f>D30-C30</f>
        <v>0.15000000000000036</v>
      </c>
      <c r="F30" s="151"/>
    </row>
    <row r="31" spans="1:7" x14ac:dyDescent="0.2">
      <c r="A31" s="128"/>
      <c r="B31" s="138" t="s">
        <v>35</v>
      </c>
      <c r="C31" s="139">
        <f>IFERROR((IF($C$19="VFR",0,HLOOKUP(C$26,Unattended!$C$69:$G$76,8,FALSE))),0)</f>
        <v>0</v>
      </c>
      <c r="D31" s="139">
        <f>IFERROR((IF($C$19="VFR",0,HLOOKUP(D$26,Unattended!$C$69:$G$76,8,FALSE))),0)</f>
        <v>0</v>
      </c>
      <c r="E31" s="139">
        <f>D31-C31</f>
        <v>0</v>
      </c>
      <c r="F31" s="151"/>
    </row>
    <row r="32" spans="1:7" x14ac:dyDescent="0.2">
      <c r="A32" s="128"/>
      <c r="B32" s="138" t="s">
        <v>36</v>
      </c>
      <c r="C32" s="139">
        <f>IF($C$19="VFR",0,HLOOKUP(C$26,'Enroute Domestic'!$C$55:$G$62,8,FALSE))</f>
        <v>7.25</v>
      </c>
      <c r="D32" s="139">
        <f>IF($C$19="VFR",0,HLOOKUP(D$26,'Enroute Domestic'!$C$55:$G$62,8,FALSE))</f>
        <v>7.42</v>
      </c>
      <c r="E32" s="139">
        <f>D32-C32</f>
        <v>0.16999999999999993</v>
      </c>
      <c r="F32" s="151"/>
    </row>
    <row r="33" spans="1:14" x14ac:dyDescent="0.2">
      <c r="A33" s="128"/>
      <c r="B33" s="138" t="s">
        <v>37</v>
      </c>
      <c r="C33" s="142">
        <f>IF($C$19="VFR",0,HLOOKUP(C$26,'Enroute Oceanic'!$C$53:$G$60,8,FALSE))</f>
        <v>0</v>
      </c>
      <c r="D33" s="142">
        <f>IF($C$19="VFR",0,HLOOKUP(D$26,'Enroute Oceanic'!$C$53:$G$60,8,FALSE))</f>
        <v>0</v>
      </c>
      <c r="E33" s="142">
        <f>D33-C33</f>
        <v>0</v>
      </c>
      <c r="F33" s="151"/>
    </row>
    <row r="34" spans="1:14" x14ac:dyDescent="0.2">
      <c r="A34" s="128"/>
      <c r="B34" s="138" t="s">
        <v>38</v>
      </c>
      <c r="C34" s="139">
        <f>SUM(C28:C33)</f>
        <v>22.14</v>
      </c>
      <c r="D34" s="139">
        <f>SUM(D28:D33)</f>
        <v>22.67</v>
      </c>
      <c r="E34" s="139">
        <f>SUM(E28:E33)</f>
        <v>0.53000000000000114</v>
      </c>
      <c r="F34" s="151"/>
      <c r="N34" s="129"/>
    </row>
    <row r="35" spans="1:14" x14ac:dyDescent="0.2">
      <c r="A35" s="128"/>
      <c r="B35" s="138" t="s">
        <v>39</v>
      </c>
      <c r="C35" s="139">
        <f>IF(SUM(C28:C32)=0,0,ROUND((C34*0.15),2))</f>
        <v>3.32</v>
      </c>
      <c r="D35" s="139">
        <f>IF(SUM(D28:D32)=0,0,ROUND((D34*0.15),2))</f>
        <v>3.4</v>
      </c>
      <c r="E35" s="139">
        <f>D35-C35</f>
        <v>8.0000000000000071E-2</v>
      </c>
      <c r="F35" s="132"/>
      <c r="N35" s="129"/>
    </row>
    <row r="36" spans="1:14" ht="12.75" thickBot="1" x14ac:dyDescent="0.25">
      <c r="A36" s="128"/>
      <c r="B36" s="149" t="s">
        <v>40</v>
      </c>
      <c r="C36" s="148">
        <f>C34+C35</f>
        <v>25.46</v>
      </c>
      <c r="D36" s="148">
        <f>D34+D35</f>
        <v>26.07</v>
      </c>
      <c r="E36" s="148">
        <f>D36-C36</f>
        <v>0.60999999999999943</v>
      </c>
      <c r="F36" s="132"/>
      <c r="N36" s="129"/>
    </row>
    <row r="37" spans="1:14" x14ac:dyDescent="0.2">
      <c r="A37" s="128"/>
      <c r="B37" s="138"/>
      <c r="C37" s="139"/>
      <c r="D37" s="139"/>
      <c r="E37" s="139"/>
      <c r="F37" s="132"/>
      <c r="K37" s="145"/>
      <c r="N37" s="129"/>
    </row>
    <row r="38" spans="1:14" x14ac:dyDescent="0.2">
      <c r="A38" s="128"/>
      <c r="C38" s="127"/>
      <c r="D38" s="129"/>
      <c r="E38" s="129"/>
      <c r="F38" s="129"/>
      <c r="K38" s="145"/>
      <c r="N38" s="129"/>
    </row>
    <row r="39" spans="1:14" ht="15.75" x14ac:dyDescent="0.25">
      <c r="A39" s="128"/>
      <c r="B39" s="218" t="s">
        <v>41</v>
      </c>
      <c r="C39" s="219"/>
      <c r="D39" s="219"/>
      <c r="E39" s="219"/>
      <c r="F39" s="219"/>
      <c r="G39" s="219"/>
      <c r="H39" s="219"/>
      <c r="I39" s="219"/>
      <c r="J39" s="219"/>
      <c r="K39" s="219"/>
      <c r="N39" s="129"/>
    </row>
    <row r="40" spans="1:14" ht="12" customHeight="1" x14ac:dyDescent="0.2">
      <c r="A40" s="128"/>
      <c r="B40" s="217" t="s">
        <v>191</v>
      </c>
      <c r="C40" s="217"/>
      <c r="D40" s="217"/>
      <c r="E40" s="217"/>
      <c r="F40" s="217"/>
      <c r="G40" s="217"/>
      <c r="H40" s="217"/>
      <c r="I40" s="217"/>
      <c r="J40" s="217"/>
      <c r="K40" s="217"/>
      <c r="L40" s="130"/>
      <c r="N40" s="129"/>
    </row>
    <row r="41" spans="1:14" ht="12" customHeight="1" x14ac:dyDescent="0.2">
      <c r="A41" s="128"/>
      <c r="B41" s="217" t="s">
        <v>42</v>
      </c>
      <c r="C41" s="217"/>
      <c r="D41" s="217"/>
      <c r="E41" s="217"/>
      <c r="F41" s="217"/>
      <c r="G41" s="217"/>
      <c r="H41" s="217"/>
      <c r="I41" s="217"/>
      <c r="J41" s="217"/>
      <c r="K41" s="217"/>
      <c r="L41" s="130"/>
      <c r="N41" s="129"/>
    </row>
    <row r="42" spans="1:14" ht="12" customHeight="1" x14ac:dyDescent="0.2">
      <c r="A42" s="128"/>
      <c r="B42" s="217" t="s">
        <v>43</v>
      </c>
      <c r="C42" s="217"/>
      <c r="D42" s="217"/>
      <c r="E42" s="217"/>
      <c r="F42" s="217"/>
      <c r="G42" s="217"/>
      <c r="H42" s="217"/>
      <c r="I42" s="217"/>
      <c r="J42" s="217"/>
      <c r="K42" s="217"/>
      <c r="L42" s="130"/>
      <c r="N42" s="129"/>
    </row>
    <row r="43" spans="1:14" ht="24.75" customHeight="1" x14ac:dyDescent="0.2">
      <c r="A43" s="128"/>
      <c r="B43" s="217" t="s">
        <v>44</v>
      </c>
      <c r="C43" s="217"/>
      <c r="D43" s="217"/>
      <c r="E43" s="217"/>
      <c r="F43" s="217"/>
      <c r="G43" s="217"/>
      <c r="H43" s="217"/>
      <c r="I43" s="217"/>
      <c r="J43" s="217"/>
      <c r="K43" s="217"/>
      <c r="L43" s="130"/>
      <c r="N43" s="129"/>
    </row>
    <row r="44" spans="1:14" ht="11.25" customHeight="1" x14ac:dyDescent="0.2">
      <c r="A44" s="128"/>
      <c r="B44" s="217" t="s">
        <v>45</v>
      </c>
      <c r="C44" s="217"/>
      <c r="D44" s="217"/>
      <c r="E44" s="217"/>
      <c r="F44" s="217"/>
      <c r="G44" s="217"/>
      <c r="H44" s="217"/>
      <c r="I44" s="217"/>
      <c r="J44" s="217"/>
      <c r="K44" s="217"/>
      <c r="L44" s="130"/>
      <c r="N44" s="129"/>
    </row>
    <row r="45" spans="1:14" ht="24.75" customHeight="1" x14ac:dyDescent="0.2">
      <c r="A45" s="128"/>
      <c r="B45" s="217" t="s">
        <v>46</v>
      </c>
      <c r="C45" s="217"/>
      <c r="D45" s="217"/>
      <c r="E45" s="217"/>
      <c r="F45" s="217"/>
      <c r="G45" s="217"/>
      <c r="H45" s="217"/>
      <c r="I45" s="217"/>
      <c r="J45" s="217"/>
      <c r="K45" s="217"/>
      <c r="L45" s="130"/>
      <c r="N45" s="129"/>
    </row>
    <row r="46" spans="1:14" ht="12" customHeight="1" x14ac:dyDescent="0.2">
      <c r="A46" s="128"/>
      <c r="B46" s="217" t="s">
        <v>47</v>
      </c>
      <c r="C46" s="217"/>
      <c r="D46" s="217"/>
      <c r="E46" s="217"/>
      <c r="F46" s="217"/>
      <c r="G46" s="217"/>
      <c r="H46" s="217"/>
      <c r="I46" s="217"/>
      <c r="J46" s="217"/>
      <c r="K46" s="217"/>
      <c r="L46" s="130"/>
      <c r="N46" s="129"/>
    </row>
    <row r="47" spans="1:14" ht="12" customHeight="1" x14ac:dyDescent="0.2">
      <c r="A47" s="128"/>
      <c r="B47" s="217" t="s">
        <v>48</v>
      </c>
      <c r="C47" s="217"/>
      <c r="D47" s="217"/>
      <c r="E47" s="217"/>
      <c r="F47" s="217"/>
      <c r="G47" s="217"/>
      <c r="H47" s="217"/>
      <c r="I47" s="217"/>
      <c r="J47" s="217"/>
      <c r="K47" s="217"/>
      <c r="L47" s="130"/>
      <c r="N47" s="129"/>
    </row>
    <row r="48" spans="1:14" ht="25.5" customHeight="1" x14ac:dyDescent="0.2">
      <c r="A48" s="128"/>
      <c r="B48" s="217" t="s">
        <v>49</v>
      </c>
      <c r="C48" s="217"/>
      <c r="D48" s="217"/>
      <c r="E48" s="217"/>
      <c r="F48" s="217"/>
      <c r="G48" s="217"/>
      <c r="H48" s="217"/>
      <c r="I48" s="217"/>
      <c r="J48" s="217"/>
      <c r="K48" s="217"/>
      <c r="L48" s="130"/>
      <c r="N48" s="129"/>
    </row>
    <row r="49" spans="1:14" ht="27.75" customHeight="1" x14ac:dyDescent="0.2">
      <c r="A49" s="128"/>
      <c r="B49" s="217" t="s">
        <v>50</v>
      </c>
      <c r="C49" s="217"/>
      <c r="D49" s="217"/>
      <c r="E49" s="217"/>
      <c r="F49" s="217"/>
      <c r="G49" s="217"/>
      <c r="H49" s="217"/>
      <c r="I49" s="217"/>
      <c r="J49" s="217"/>
      <c r="K49" s="217"/>
      <c r="L49" s="130"/>
      <c r="N49" s="129"/>
    </row>
    <row r="50" spans="1:14" x14ac:dyDescent="0.2">
      <c r="K50" s="145"/>
      <c r="L50" s="131"/>
    </row>
    <row r="51" spans="1:14" ht="22.9" customHeight="1" x14ac:dyDescent="0.2">
      <c r="A51" s="209"/>
      <c r="B51" s="209"/>
      <c r="C51" s="209"/>
      <c r="D51" s="209"/>
      <c r="E51" s="209"/>
      <c r="F51" s="209"/>
      <c r="G51" s="209"/>
      <c r="H51" s="209"/>
      <c r="I51" s="209"/>
      <c r="J51" s="209"/>
      <c r="K51" s="209"/>
      <c r="L51" s="209"/>
    </row>
    <row r="52" spans="1:14" s="172" customFormat="1" ht="12" customHeight="1" x14ac:dyDescent="0.2">
      <c r="B52" s="171"/>
    </row>
    <row r="53" spans="1:14" s="172" customFormat="1" ht="12" customHeight="1" x14ac:dyDescent="0.2">
      <c r="B53" s="171"/>
    </row>
    <row r="54" spans="1:14" s="172" customFormat="1" ht="12" customHeight="1" x14ac:dyDescent="0.2">
      <c r="B54" s="171"/>
    </row>
    <row r="55" spans="1:14" s="193" customFormat="1" ht="12" customHeight="1" x14ac:dyDescent="0.2">
      <c r="B55" s="194"/>
      <c r="C55" s="195" t="s">
        <v>51</v>
      </c>
      <c r="D55" s="195" t="s">
        <v>52</v>
      </c>
    </row>
    <row r="56" spans="1:14" s="193" customFormat="1" ht="12" customHeight="1" x14ac:dyDescent="0.2">
      <c r="B56" s="194"/>
      <c r="C56" s="193" t="s">
        <v>53</v>
      </c>
    </row>
    <row r="57" spans="1:14" s="193" customFormat="1" ht="12" customHeight="1" x14ac:dyDescent="0.2">
      <c r="B57" s="194"/>
      <c r="C57" s="193" t="s">
        <v>54</v>
      </c>
    </row>
    <row r="58" spans="1:14" s="193" customFormat="1" ht="12" customHeight="1" x14ac:dyDescent="0.2">
      <c r="B58" s="194"/>
      <c r="C58" s="193" t="str">
        <f>'Airways Aerodrome'!C42</f>
        <v>2022/23 Prices</v>
      </c>
      <c r="D58" s="193" t="str">
        <f>'Airways Aerodrome'!B42</f>
        <v>2021/22 Prices</v>
      </c>
    </row>
    <row r="59" spans="1:14" s="193" customFormat="1" ht="12" customHeight="1" x14ac:dyDescent="0.2">
      <c r="B59" s="194"/>
      <c r="C59" s="193" t="str">
        <f>'Airways Aerodrome'!D42</f>
        <v>2023/24 Prices</v>
      </c>
      <c r="D59" s="193" t="str">
        <f>C58</f>
        <v>2022/23 Prices</v>
      </c>
    </row>
    <row r="60" spans="1:14" s="193" customFormat="1" ht="12" customHeight="1" x14ac:dyDescent="0.2">
      <c r="B60" s="194"/>
      <c r="C60" s="193" t="str">
        <f>'Airways Aerodrome'!E42</f>
        <v>2024/25 Prices</v>
      </c>
      <c r="D60" s="193" t="str">
        <f>C59</f>
        <v>2023/24 Prices</v>
      </c>
    </row>
    <row r="61" spans="1:14" s="193" customFormat="1" x14ac:dyDescent="0.2">
      <c r="B61" s="194"/>
    </row>
    <row r="62" spans="1:14" s="193" customFormat="1" x14ac:dyDescent="0.2">
      <c r="B62" s="194"/>
    </row>
    <row r="63" spans="1:14" s="193" customFormat="1" x14ac:dyDescent="0.2">
      <c r="B63" s="194"/>
      <c r="C63" s="196" t="s">
        <v>55</v>
      </c>
      <c r="D63" s="196" t="s">
        <v>56</v>
      </c>
    </row>
    <row r="64" spans="1:14" s="193" customFormat="1" x14ac:dyDescent="0.2">
      <c r="B64" s="194"/>
      <c r="C64" s="193" t="s">
        <v>15</v>
      </c>
      <c r="D64" s="193" t="s">
        <v>18</v>
      </c>
    </row>
    <row r="65" spans="2:4" s="193" customFormat="1" x14ac:dyDescent="0.2">
      <c r="B65" s="194"/>
      <c r="C65" s="193" t="s">
        <v>57</v>
      </c>
      <c r="D65" s="193" t="s">
        <v>58</v>
      </c>
    </row>
    <row r="66" spans="2:4" s="193" customFormat="1" x14ac:dyDescent="0.2">
      <c r="B66" s="194"/>
      <c r="C66" s="193" t="s">
        <v>59</v>
      </c>
    </row>
    <row r="67" spans="2:4" s="193" customFormat="1" x14ac:dyDescent="0.2">
      <c r="B67" s="194"/>
      <c r="C67" s="193" t="s">
        <v>60</v>
      </c>
    </row>
    <row r="68" spans="2:4" s="193" customFormat="1" x14ac:dyDescent="0.2">
      <c r="B68" s="194"/>
      <c r="C68" s="193" t="s">
        <v>61</v>
      </c>
    </row>
    <row r="69" spans="2:4" s="193" customFormat="1" x14ac:dyDescent="0.2">
      <c r="B69" s="194"/>
      <c r="C69" s="193" t="s">
        <v>62</v>
      </c>
    </row>
    <row r="70" spans="2:4" s="193" customFormat="1" x14ac:dyDescent="0.2">
      <c r="B70" s="194"/>
      <c r="C70" s="193" t="s">
        <v>63</v>
      </c>
    </row>
    <row r="71" spans="2:4" s="193" customFormat="1" x14ac:dyDescent="0.2">
      <c r="B71" s="194"/>
      <c r="C71" s="193" t="s">
        <v>64</v>
      </c>
    </row>
    <row r="72" spans="2:4" s="193" customFormat="1" ht="15" customHeight="1" x14ac:dyDescent="0.2">
      <c r="B72" s="194"/>
      <c r="C72" s="193" t="s">
        <v>65</v>
      </c>
    </row>
    <row r="73" spans="2:4" s="193" customFormat="1" x14ac:dyDescent="0.2">
      <c r="B73" s="194"/>
      <c r="C73" s="193" t="s">
        <v>66</v>
      </c>
    </row>
    <row r="74" spans="2:4" s="193" customFormat="1" x14ac:dyDescent="0.2">
      <c r="B74" s="194"/>
      <c r="C74" s="193" t="s">
        <v>67</v>
      </c>
    </row>
    <row r="75" spans="2:4" s="193" customFormat="1" x14ac:dyDescent="0.2">
      <c r="B75" s="194"/>
      <c r="C75" s="193" t="s">
        <v>68</v>
      </c>
    </row>
    <row r="76" spans="2:4" s="193" customFormat="1" x14ac:dyDescent="0.2">
      <c r="B76" s="194"/>
      <c r="C76" s="193" t="s">
        <v>69</v>
      </c>
    </row>
    <row r="77" spans="2:4" s="193" customFormat="1" x14ac:dyDescent="0.2">
      <c r="B77" s="194"/>
      <c r="C77" s="193" t="s">
        <v>70</v>
      </c>
    </row>
    <row r="78" spans="2:4" s="193" customFormat="1" x14ac:dyDescent="0.2">
      <c r="B78" s="194"/>
      <c r="C78" s="193" t="s">
        <v>71</v>
      </c>
    </row>
    <row r="79" spans="2:4" s="193" customFormat="1" x14ac:dyDescent="0.2">
      <c r="B79" s="194"/>
      <c r="C79" s="193" t="s">
        <v>72</v>
      </c>
    </row>
    <row r="80" spans="2:4" s="193" customFormat="1" x14ac:dyDescent="0.2">
      <c r="B80" s="194"/>
      <c r="C80" s="193" t="s">
        <v>73</v>
      </c>
    </row>
    <row r="81" spans="2:3" s="193" customFormat="1" x14ac:dyDescent="0.2">
      <c r="B81" s="194"/>
      <c r="C81" s="193" t="s">
        <v>74</v>
      </c>
    </row>
    <row r="82" spans="2:3" s="193" customFormat="1" x14ac:dyDescent="0.2">
      <c r="B82" s="194"/>
      <c r="C82" s="193" t="s">
        <v>75</v>
      </c>
    </row>
    <row r="83" spans="2:3" s="193" customFormat="1" x14ac:dyDescent="0.2">
      <c r="B83" s="194"/>
      <c r="C83" s="193" t="s">
        <v>76</v>
      </c>
    </row>
    <row r="84" spans="2:3" s="193" customFormat="1" x14ac:dyDescent="0.2">
      <c r="B84" s="194"/>
      <c r="C84" s="193" t="s">
        <v>77</v>
      </c>
    </row>
    <row r="85" spans="2:3" s="193" customFormat="1" x14ac:dyDescent="0.2">
      <c r="B85" s="194"/>
      <c r="C85" s="193" t="s">
        <v>78</v>
      </c>
    </row>
    <row r="86" spans="2:3" s="193" customFormat="1" x14ac:dyDescent="0.2">
      <c r="B86" s="194"/>
      <c r="C86" s="193" t="s">
        <v>79</v>
      </c>
    </row>
    <row r="87" spans="2:3" s="193" customFormat="1" x14ac:dyDescent="0.2">
      <c r="B87" s="194"/>
      <c r="C87" s="193" t="s">
        <v>80</v>
      </c>
    </row>
    <row r="88" spans="2:3" s="193" customFormat="1" x14ac:dyDescent="0.2">
      <c r="B88" s="194"/>
      <c r="C88" s="193" t="s">
        <v>81</v>
      </c>
    </row>
    <row r="89" spans="2:3" s="193" customFormat="1" x14ac:dyDescent="0.2">
      <c r="B89" s="194"/>
      <c r="C89" s="193" t="s">
        <v>82</v>
      </c>
    </row>
    <row r="90" spans="2:3" s="193" customFormat="1" x14ac:dyDescent="0.2">
      <c r="B90" s="194"/>
      <c r="C90" s="193" t="s">
        <v>83</v>
      </c>
    </row>
    <row r="91" spans="2:3" s="193" customFormat="1" x14ac:dyDescent="0.2">
      <c r="B91" s="194"/>
      <c r="C91" s="193" t="s">
        <v>84</v>
      </c>
    </row>
    <row r="92" spans="2:3" s="193" customFormat="1" x14ac:dyDescent="0.2">
      <c r="B92" s="194"/>
      <c r="C92" s="193" t="s">
        <v>85</v>
      </c>
    </row>
    <row r="93" spans="2:3" s="193" customFormat="1" x14ac:dyDescent="0.2">
      <c r="B93" s="194"/>
      <c r="C93" s="193" t="s">
        <v>86</v>
      </c>
    </row>
    <row r="94" spans="2:3" s="193" customFormat="1" x14ac:dyDescent="0.2">
      <c r="B94" s="194"/>
      <c r="C94" s="193" t="s">
        <v>87</v>
      </c>
    </row>
    <row r="95" spans="2:3" s="193" customFormat="1" x14ac:dyDescent="0.2">
      <c r="B95" s="194"/>
      <c r="C95" s="193" t="s">
        <v>88</v>
      </c>
    </row>
    <row r="96" spans="2:3" s="193" customFormat="1" x14ac:dyDescent="0.2">
      <c r="B96" s="194"/>
    </row>
    <row r="97" spans="2:16" s="172" customFormat="1" x14ac:dyDescent="0.2">
      <c r="B97" s="171"/>
    </row>
    <row r="98" spans="2:16" s="172" customFormat="1" x14ac:dyDescent="0.2">
      <c r="B98" s="171"/>
    </row>
    <row r="99" spans="2:16" s="172" customFormat="1" x14ac:dyDescent="0.2">
      <c r="B99" s="171"/>
    </row>
    <row r="100" spans="2:16" s="172" customFormat="1" x14ac:dyDescent="0.2">
      <c r="B100" s="171"/>
    </row>
    <row r="101" spans="2:16" s="172" customFormat="1" x14ac:dyDescent="0.2">
      <c r="B101" s="171"/>
    </row>
    <row r="102" spans="2:16" s="172" customFormat="1" x14ac:dyDescent="0.2">
      <c r="B102" s="171"/>
    </row>
    <row r="103" spans="2:16" x14ac:dyDescent="0.2">
      <c r="B103" s="152"/>
      <c r="C103" s="153"/>
      <c r="D103" s="153"/>
      <c r="E103" s="153"/>
      <c r="F103" s="153"/>
      <c r="G103" s="153"/>
      <c r="H103" s="153"/>
      <c r="I103" s="153"/>
      <c r="J103" s="153"/>
      <c r="K103" s="153"/>
      <c r="L103" s="153"/>
      <c r="M103" s="153"/>
      <c r="N103" s="153"/>
      <c r="O103" s="153"/>
      <c r="P103" s="153"/>
    </row>
    <row r="104" spans="2:16" x14ac:dyDescent="0.2">
      <c r="B104" s="152"/>
      <c r="C104" s="153"/>
      <c r="D104" s="153"/>
      <c r="E104" s="153"/>
      <c r="F104" s="153"/>
      <c r="G104" s="153"/>
      <c r="H104" s="153"/>
      <c r="I104" s="153"/>
      <c r="J104" s="153"/>
      <c r="K104" s="153"/>
      <c r="L104" s="153"/>
      <c r="M104" s="153"/>
      <c r="N104" s="153"/>
      <c r="O104" s="153"/>
      <c r="P104" s="153"/>
    </row>
    <row r="105" spans="2:16" x14ac:dyDescent="0.2">
      <c r="B105" s="152"/>
      <c r="C105" s="153"/>
      <c r="D105" s="153"/>
      <c r="E105" s="153"/>
      <c r="F105" s="153"/>
      <c r="G105" s="153"/>
      <c r="H105" s="153"/>
      <c r="I105" s="153"/>
      <c r="J105" s="153"/>
      <c r="K105" s="153"/>
      <c r="L105" s="153"/>
      <c r="M105" s="153"/>
      <c r="N105" s="153"/>
      <c r="O105" s="153"/>
      <c r="P105" s="153"/>
    </row>
    <row r="106" spans="2:16" x14ac:dyDescent="0.2">
      <c r="B106" s="152"/>
      <c r="C106" s="153"/>
      <c r="D106" s="153"/>
      <c r="E106" s="153"/>
      <c r="F106" s="153"/>
      <c r="G106" s="153"/>
      <c r="H106" s="153"/>
      <c r="I106" s="153"/>
      <c r="J106" s="153"/>
      <c r="K106" s="153"/>
      <c r="L106" s="153"/>
      <c r="M106" s="153"/>
      <c r="N106" s="153"/>
      <c r="O106" s="153"/>
      <c r="P106" s="153"/>
    </row>
    <row r="107" spans="2:16" x14ac:dyDescent="0.2">
      <c r="B107" s="152"/>
      <c r="C107" s="153"/>
      <c r="D107" s="153"/>
      <c r="E107" s="153"/>
      <c r="F107" s="153"/>
      <c r="G107" s="153"/>
      <c r="H107" s="153"/>
      <c r="I107" s="153"/>
      <c r="J107" s="153"/>
      <c r="K107" s="153"/>
      <c r="L107" s="153"/>
      <c r="M107" s="153"/>
      <c r="N107" s="153"/>
      <c r="O107" s="153"/>
      <c r="P107" s="153"/>
    </row>
    <row r="108" spans="2:16" x14ac:dyDescent="0.2">
      <c r="B108" s="152"/>
      <c r="C108" s="153"/>
      <c r="D108" s="153"/>
      <c r="E108" s="153"/>
      <c r="F108" s="153"/>
      <c r="G108" s="153"/>
      <c r="H108" s="153"/>
      <c r="I108" s="153"/>
      <c r="J108" s="153"/>
      <c r="K108" s="153"/>
      <c r="L108" s="153"/>
      <c r="M108" s="153"/>
      <c r="N108" s="153"/>
      <c r="O108" s="153"/>
      <c r="P108" s="153"/>
    </row>
    <row r="109" spans="2:16" x14ac:dyDescent="0.2">
      <c r="B109" s="152"/>
      <c r="C109" s="153"/>
      <c r="D109" s="153"/>
      <c r="E109" s="153"/>
      <c r="F109" s="153"/>
      <c r="G109" s="153"/>
      <c r="H109" s="153"/>
      <c r="I109" s="153"/>
      <c r="J109" s="153"/>
      <c r="K109" s="153"/>
      <c r="L109" s="153"/>
      <c r="M109" s="153"/>
      <c r="N109" s="153"/>
      <c r="O109" s="153"/>
      <c r="P109" s="153"/>
    </row>
    <row r="110" spans="2:16" x14ac:dyDescent="0.2">
      <c r="B110" s="152"/>
      <c r="C110" s="153"/>
      <c r="D110" s="153"/>
      <c r="E110" s="153"/>
      <c r="F110" s="153"/>
      <c r="G110" s="153"/>
      <c r="H110" s="153"/>
      <c r="I110" s="153"/>
      <c r="J110" s="153"/>
      <c r="K110" s="153"/>
      <c r="L110" s="153"/>
      <c r="M110" s="153"/>
      <c r="N110" s="153"/>
      <c r="O110" s="153"/>
      <c r="P110" s="153"/>
    </row>
    <row r="111" spans="2:16" x14ac:dyDescent="0.2">
      <c r="B111" s="152"/>
      <c r="C111" s="153"/>
      <c r="D111" s="153"/>
      <c r="E111" s="153"/>
      <c r="F111" s="153"/>
      <c r="G111" s="153"/>
      <c r="H111" s="153"/>
      <c r="I111" s="153"/>
      <c r="J111" s="153"/>
      <c r="K111" s="153"/>
      <c r="L111" s="153"/>
      <c r="M111" s="153"/>
      <c r="N111" s="153"/>
      <c r="O111" s="153"/>
      <c r="P111" s="153"/>
    </row>
  </sheetData>
  <sheetProtection algorithmName="SHA-512" hashValue="1zj4Lkhw8JujgiJOghsJjvdRykd34k179e+7wC1kH3CDaVv4i43yELuyCq/LLY9xx6wehZqL53OtN5Xvva8QVA==" saltValue="wt2ho2jwKxnu/Z/H7+454Q==" spinCount="100000" sheet="1"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showInputMessage="1" showErrorMessage="1" sqref="C18" xr:uid="{00000000-0002-0000-0000-000000000000}">
      <formula1>$C$64:$C$95</formula1>
    </dataValidation>
    <dataValidation type="list" allowBlank="1" showInputMessage="1" showErrorMessage="1" error="Only VFR or IFR can be entered" sqref="C19" xr:uid="{00000000-0002-0000-0000-000001000000}">
      <formula1>$D$64:$D$65</formula1>
    </dataValidation>
    <dataValidation type="decimal" allowBlank="1" showInputMessage="1" showErrorMessage="1" error="Aircraft weight must be between 0 and 600,000kg" sqref="C20" xr:uid="{00000000-0002-0000-0000-000002000000}">
      <formula1>0</formula1>
      <formula2>600000</formula2>
    </dataValidation>
    <dataValidation type="decimal" allowBlank="1" showInputMessage="1" showErrorMessage="1" error="Domestic En-route Distance must be between 0 and 1000 nautical miles" sqref="C22" xr:uid="{00000000-0002-0000-0000-000003000000}">
      <formula1>0</formula1>
      <formula2>1000</formula2>
    </dataValidation>
    <dataValidation type="decimal" allowBlank="1" showInputMessage="1" showErrorMessage="1" error="Oceanic En-route Distance must be between 0 and 3500 nautical miles" sqref="C23" xr:uid="{00000000-0002-0000-0000-000004000000}">
      <formula1>0</formula1>
      <formula2>3500</formula2>
    </dataValidation>
    <dataValidation type="list" allowBlank="1" showInputMessage="1" showErrorMessage="1" sqref="D26" xr:uid="{00000000-0002-0000-0000-000005000000}">
      <formula1>C$58:C$60</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33"/>
  <sheetViews>
    <sheetView topLeftCell="A10" workbookViewId="0">
      <selection activeCell="E17" sqref="E17:F17"/>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3" t="s">
        <v>89</v>
      </c>
      <c r="B1" s="33"/>
    </row>
    <row r="2" spans="1:2" x14ac:dyDescent="0.25">
      <c r="A2" t="s">
        <v>15</v>
      </c>
    </row>
    <row r="3" spans="1:2" x14ac:dyDescent="0.25">
      <c r="A3" t="s">
        <v>57</v>
      </c>
    </row>
    <row r="4" spans="1:2" x14ac:dyDescent="0.25">
      <c r="A4" t="s">
        <v>59</v>
      </c>
    </row>
    <row r="5" spans="1:2" x14ac:dyDescent="0.25">
      <c r="A5" t="s">
        <v>60</v>
      </c>
    </row>
    <row r="6" spans="1:2" x14ac:dyDescent="0.25">
      <c r="A6" t="s">
        <v>61</v>
      </c>
    </row>
    <row r="7" spans="1:2" x14ac:dyDescent="0.25">
      <c r="A7" t="s">
        <v>62</v>
      </c>
    </row>
    <row r="8" spans="1:2" x14ac:dyDescent="0.25">
      <c r="A8" t="s">
        <v>63</v>
      </c>
    </row>
    <row r="9" spans="1:2" x14ac:dyDescent="0.25">
      <c r="A9" t="s">
        <v>64</v>
      </c>
    </row>
    <row r="10" spans="1:2" x14ac:dyDescent="0.25">
      <c r="A10" t="s">
        <v>65</v>
      </c>
    </row>
    <row r="11" spans="1:2" x14ac:dyDescent="0.25">
      <c r="A11" t="s">
        <v>66</v>
      </c>
    </row>
    <row r="12" spans="1:2" x14ac:dyDescent="0.25">
      <c r="A12" t="s">
        <v>67</v>
      </c>
    </row>
    <row r="13" spans="1:2" x14ac:dyDescent="0.25">
      <c r="A13" t="s">
        <v>68</v>
      </c>
    </row>
    <row r="14" spans="1:2" x14ac:dyDescent="0.25">
      <c r="A14" t="s">
        <v>69</v>
      </c>
    </row>
    <row r="15" spans="1:2" x14ac:dyDescent="0.25">
      <c r="A15" t="s">
        <v>70</v>
      </c>
    </row>
    <row r="16" spans="1:2"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90</v>
      </c>
    </row>
  </sheetData>
  <sortState xmlns:xlrd2="http://schemas.microsoft.com/office/spreadsheetml/2017/richdata2"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6" tint="-0.249977111117893"/>
    <pageSetUpPr fitToPage="1"/>
  </sheetPr>
  <dimension ref="A1:AN94"/>
  <sheetViews>
    <sheetView topLeftCell="A42" zoomScale="80" zoomScaleNormal="80" workbookViewId="0">
      <selection activeCell="I77" sqref="I77"/>
    </sheetView>
  </sheetViews>
  <sheetFormatPr defaultColWidth="9.140625" defaultRowHeight="15" x14ac:dyDescent="0.25"/>
  <cols>
    <col min="1" max="1" width="29.7109375" style="10"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9.7109375" style="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0" bestFit="1" customWidth="1"/>
    <col min="23" max="23" width="13.42578125" style="20" bestFit="1" customWidth="1"/>
    <col min="24" max="24" width="8.85546875" style="1" bestFit="1" customWidth="1"/>
    <col min="25" max="25" width="13" style="20" bestFit="1" customWidth="1"/>
    <col min="26" max="26" width="10.5703125" style="20" bestFit="1" customWidth="1"/>
    <col min="27" max="27" width="12" style="20" bestFit="1" customWidth="1"/>
    <col min="28" max="29" width="8.85546875"/>
    <col min="30" max="30" width="10.7109375" style="20" bestFit="1" customWidth="1"/>
    <col min="31" max="31" width="8.140625" style="20" bestFit="1" customWidth="1"/>
    <col min="32" max="32" width="7.140625" style="20"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2" t="s">
        <v>91</v>
      </c>
      <c r="B2" s="13"/>
      <c r="C2" s="13"/>
      <c r="D2" s="13"/>
      <c r="E2" s="13"/>
      <c r="F2" s="13"/>
      <c r="X2" s="19"/>
    </row>
    <row r="3" spans="1:24" x14ac:dyDescent="0.25">
      <c r="A3" s="1"/>
      <c r="X3" s="19"/>
    </row>
    <row r="4" spans="1:24" x14ac:dyDescent="0.25">
      <c r="A4" s="1"/>
      <c r="X4" s="19"/>
    </row>
    <row r="5" spans="1:24" ht="64.5" x14ac:dyDescent="0.25">
      <c r="A5" s="2" t="s">
        <v>92</v>
      </c>
      <c r="B5" s="3" t="s">
        <v>93</v>
      </c>
      <c r="C5" s="4" t="s">
        <v>94</v>
      </c>
      <c r="D5" s="4" t="s">
        <v>95</v>
      </c>
      <c r="E5" s="4" t="s">
        <v>96</v>
      </c>
      <c r="F5" s="4" t="s">
        <v>97</v>
      </c>
      <c r="G5" s="4" t="s">
        <v>98</v>
      </c>
      <c r="H5" s="4" t="s">
        <v>99</v>
      </c>
      <c r="J5" s="5" t="s">
        <v>100</v>
      </c>
      <c r="K5" s="4" t="s">
        <v>96</v>
      </c>
      <c r="L5" s="4" t="s">
        <v>97</v>
      </c>
      <c r="M5" s="4" t="s">
        <v>98</v>
      </c>
      <c r="N5" s="4" t="s">
        <v>99</v>
      </c>
      <c r="X5" s="6"/>
    </row>
    <row r="6" spans="1:24" x14ac:dyDescent="0.25">
      <c r="A6" s="7" t="s">
        <v>101</v>
      </c>
      <c r="B6" s="14">
        <v>3.2</v>
      </c>
      <c r="C6" s="14">
        <v>3.85</v>
      </c>
      <c r="D6" s="14">
        <v>7.65</v>
      </c>
      <c r="E6" s="14">
        <v>6.52</v>
      </c>
      <c r="F6" s="14">
        <v>8.5299999999999994</v>
      </c>
      <c r="G6" s="14">
        <v>8.5299999999999994</v>
      </c>
      <c r="H6" s="14">
        <v>8.5299999999999994</v>
      </c>
      <c r="J6" s="7" t="s">
        <v>101</v>
      </c>
      <c r="K6" s="15">
        <v>2.3600000000000001E-3</v>
      </c>
      <c r="L6" s="15">
        <v>3.1099999999999999E-3</v>
      </c>
      <c r="M6" s="15">
        <v>3.1099999999999999E-3</v>
      </c>
      <c r="N6" s="15">
        <v>0.51846000000000003</v>
      </c>
      <c r="X6" s="6"/>
    </row>
    <row r="7" spans="1:24" x14ac:dyDescent="0.25">
      <c r="A7" s="7" t="s">
        <v>102</v>
      </c>
      <c r="B7" s="14">
        <v>3.2</v>
      </c>
      <c r="C7" s="14">
        <v>3.85</v>
      </c>
      <c r="D7" s="14">
        <v>7.65</v>
      </c>
      <c r="E7" s="14">
        <v>6.52</v>
      </c>
      <c r="F7" s="14">
        <v>47.37</v>
      </c>
      <c r="G7" s="14">
        <v>47.37</v>
      </c>
      <c r="H7" s="14">
        <v>47.37</v>
      </c>
      <c r="J7" s="7" t="s">
        <v>102</v>
      </c>
      <c r="K7" s="15">
        <v>2.3600000000000001E-3</v>
      </c>
      <c r="L7" s="15">
        <v>1.7229999999999999E-2</v>
      </c>
      <c r="M7" s="15">
        <v>1.7229999999999999E-2</v>
      </c>
      <c r="N7" s="15">
        <v>2.8780199999999998</v>
      </c>
      <c r="X7" s="6"/>
    </row>
    <row r="8" spans="1:24" x14ac:dyDescent="0.25">
      <c r="A8" s="7" t="s">
        <v>103</v>
      </c>
      <c r="B8" s="14">
        <v>3.2</v>
      </c>
      <c r="C8" s="14">
        <v>3.85</v>
      </c>
      <c r="D8" s="14">
        <v>7.65</v>
      </c>
      <c r="E8" s="14">
        <v>6.52</v>
      </c>
      <c r="F8" s="14">
        <v>15.57</v>
      </c>
      <c r="G8" s="14">
        <v>15.57</v>
      </c>
      <c r="H8" s="14">
        <v>15.57</v>
      </c>
      <c r="J8" s="7" t="s">
        <v>103</v>
      </c>
      <c r="K8" s="15">
        <v>2.3600000000000001E-3</v>
      </c>
      <c r="L8" s="15">
        <v>5.6699999999999997E-3</v>
      </c>
      <c r="M8" s="15">
        <v>5.6699999999999997E-3</v>
      </c>
      <c r="N8" s="15">
        <v>0.94620000000000004</v>
      </c>
      <c r="X8" s="6"/>
    </row>
    <row r="9" spans="1:24" x14ac:dyDescent="0.25">
      <c r="A9" s="7" t="s">
        <v>104</v>
      </c>
      <c r="B9" s="14">
        <v>3.2</v>
      </c>
      <c r="C9" s="14">
        <v>3.85</v>
      </c>
      <c r="D9" s="14">
        <v>7.65</v>
      </c>
      <c r="E9" s="14">
        <v>6.52</v>
      </c>
      <c r="F9" s="14">
        <v>26.09</v>
      </c>
      <c r="G9" s="14">
        <v>26.09</v>
      </c>
      <c r="H9" s="14">
        <v>26.09</v>
      </c>
      <c r="J9" s="7" t="s">
        <v>104</v>
      </c>
      <c r="K9" s="15">
        <v>2.3600000000000001E-3</v>
      </c>
      <c r="L9" s="15">
        <v>9.4800000000000006E-3</v>
      </c>
      <c r="M9" s="15">
        <v>9.4800000000000006E-3</v>
      </c>
      <c r="N9" s="15">
        <v>1.5848800000000001</v>
      </c>
      <c r="X9" s="6"/>
    </row>
    <row r="10" spans="1:24" x14ac:dyDescent="0.25">
      <c r="A10" s="7" t="s">
        <v>105</v>
      </c>
      <c r="B10" s="14">
        <v>3.2</v>
      </c>
      <c r="C10" s="14">
        <v>3.85</v>
      </c>
      <c r="D10" s="14">
        <v>7.65</v>
      </c>
      <c r="E10" s="14">
        <v>6.52</v>
      </c>
      <c r="F10" s="14">
        <v>17.690000000000001</v>
      </c>
      <c r="G10" s="14">
        <v>17.690000000000001</v>
      </c>
      <c r="H10" s="14">
        <v>17.690000000000001</v>
      </c>
      <c r="J10" s="7" t="s">
        <v>105</v>
      </c>
      <c r="K10" s="15">
        <v>2.3600000000000001E-3</v>
      </c>
      <c r="L10" s="15">
        <v>6.4400000000000004E-3</v>
      </c>
      <c r="M10" s="15">
        <v>6.4400000000000004E-3</v>
      </c>
      <c r="N10" s="15">
        <v>1.0743100000000001</v>
      </c>
      <c r="X10" s="6"/>
    </row>
    <row r="11" spans="1:24" x14ac:dyDescent="0.25">
      <c r="A11" s="7" t="s">
        <v>106</v>
      </c>
      <c r="B11" s="14">
        <v>3.2</v>
      </c>
      <c r="C11" s="14">
        <v>3.85</v>
      </c>
      <c r="D11" s="14">
        <v>7.65</v>
      </c>
      <c r="E11" s="14">
        <v>6.52</v>
      </c>
      <c r="F11" s="14">
        <v>10.77</v>
      </c>
      <c r="G11" s="14">
        <v>10.77</v>
      </c>
      <c r="H11" s="14">
        <v>10.77</v>
      </c>
      <c r="J11" s="7" t="s">
        <v>106</v>
      </c>
      <c r="K11" s="15">
        <v>2.3600000000000001E-3</v>
      </c>
      <c r="L11" s="15">
        <v>3.9199999999999999E-3</v>
      </c>
      <c r="M11" s="15">
        <v>3.9199999999999999E-3</v>
      </c>
      <c r="N11" s="15">
        <v>0.65447999999999995</v>
      </c>
      <c r="X11" s="6"/>
    </row>
    <row r="12" spans="1:24" x14ac:dyDescent="0.25">
      <c r="A12" s="7" t="s">
        <v>107</v>
      </c>
      <c r="B12" s="14">
        <v>3.2</v>
      </c>
      <c r="C12" s="14">
        <v>3.85</v>
      </c>
      <c r="D12" s="14">
        <v>7.65</v>
      </c>
      <c r="E12" s="14">
        <v>6.52</v>
      </c>
      <c r="F12" s="14">
        <v>18.260000000000002</v>
      </c>
      <c r="G12" s="14">
        <v>18.260000000000002</v>
      </c>
      <c r="H12" s="14">
        <v>18.260000000000002</v>
      </c>
      <c r="J12" s="7" t="s">
        <v>107</v>
      </c>
      <c r="K12" s="15">
        <v>2.3600000000000001E-3</v>
      </c>
      <c r="L12" s="15">
        <v>6.6400000000000001E-3</v>
      </c>
      <c r="M12" s="15">
        <v>6.6400000000000001E-3</v>
      </c>
      <c r="N12" s="15">
        <v>1.1098300000000001</v>
      </c>
      <c r="X12" s="6"/>
    </row>
    <row r="13" spans="1:24" x14ac:dyDescent="0.25">
      <c r="A13" s="7" t="s">
        <v>108</v>
      </c>
      <c r="B13" s="14">
        <v>3.2</v>
      </c>
      <c r="C13" s="14">
        <v>3.85</v>
      </c>
      <c r="D13" s="14">
        <v>7.65</v>
      </c>
      <c r="E13" s="14">
        <v>6.52</v>
      </c>
      <c r="F13" s="14">
        <v>10.94</v>
      </c>
      <c r="G13" s="14">
        <v>10.94</v>
      </c>
      <c r="H13" s="14">
        <v>10.94</v>
      </c>
      <c r="J13" s="7" t="s">
        <v>108</v>
      </c>
      <c r="K13" s="15">
        <v>2.3600000000000001E-3</v>
      </c>
      <c r="L13" s="15">
        <v>3.9699999999999996E-3</v>
      </c>
      <c r="M13" s="15">
        <v>3.9699999999999996E-3</v>
      </c>
      <c r="N13" s="15">
        <v>0.66427000000000003</v>
      </c>
      <c r="X13" s="6"/>
    </row>
    <row r="14" spans="1:24" x14ac:dyDescent="0.25">
      <c r="A14" s="7" t="s">
        <v>109</v>
      </c>
      <c r="B14" s="14">
        <v>3.2</v>
      </c>
      <c r="C14" s="14">
        <v>3.85</v>
      </c>
      <c r="D14" s="14">
        <v>7.65</v>
      </c>
      <c r="E14" s="14">
        <v>6.52</v>
      </c>
      <c r="F14" s="14">
        <v>9.44</v>
      </c>
      <c r="G14" s="14">
        <v>9.44</v>
      </c>
      <c r="H14" s="14">
        <v>9.44</v>
      </c>
      <c r="J14" s="7" t="s">
        <v>109</v>
      </c>
      <c r="K14" s="15">
        <v>2.3600000000000001E-3</v>
      </c>
      <c r="L14" s="15">
        <v>3.4299999999999999E-3</v>
      </c>
      <c r="M14" s="15">
        <v>3.4299999999999999E-3</v>
      </c>
      <c r="N14" s="15">
        <v>0.57367000000000001</v>
      </c>
      <c r="X14" s="6"/>
    </row>
    <row r="15" spans="1:24" x14ac:dyDescent="0.25">
      <c r="A15" s="7" t="s">
        <v>110</v>
      </c>
      <c r="B15" s="14">
        <v>3.2</v>
      </c>
      <c r="C15" s="14">
        <v>3.85</v>
      </c>
      <c r="D15" s="14">
        <v>7.65</v>
      </c>
      <c r="E15" s="14">
        <v>6.52</v>
      </c>
      <c r="F15" s="14">
        <v>12.81</v>
      </c>
      <c r="G15" s="14">
        <v>12.81</v>
      </c>
      <c r="H15" s="14">
        <v>12.81</v>
      </c>
      <c r="J15" s="7" t="s">
        <v>110</v>
      </c>
      <c r="K15" s="15">
        <v>2.3600000000000001E-3</v>
      </c>
      <c r="L15" s="15">
        <v>4.6499999999999996E-3</v>
      </c>
      <c r="M15" s="15">
        <v>4.6499999999999996E-3</v>
      </c>
      <c r="N15" s="15">
        <v>0.77858000000000005</v>
      </c>
      <c r="X15" s="6"/>
    </row>
    <row r="16" spans="1:24" x14ac:dyDescent="0.25">
      <c r="A16" s="7" t="s">
        <v>111</v>
      </c>
      <c r="B16" s="14">
        <v>3.2</v>
      </c>
      <c r="C16" s="14">
        <v>3.85</v>
      </c>
      <c r="D16" s="14">
        <v>7.65</v>
      </c>
      <c r="E16" s="14">
        <v>6.52</v>
      </c>
      <c r="F16" s="14">
        <v>30.7</v>
      </c>
      <c r="G16" s="14">
        <v>30.7</v>
      </c>
      <c r="H16" s="14">
        <v>30.7</v>
      </c>
      <c r="J16" s="7" t="s">
        <v>111</v>
      </c>
      <c r="K16" s="15">
        <v>2.3600000000000001E-3</v>
      </c>
      <c r="L16" s="15">
        <v>1.116E-2</v>
      </c>
      <c r="M16" s="15">
        <v>1.116E-2</v>
      </c>
      <c r="N16" s="15">
        <v>1.8648</v>
      </c>
      <c r="X16" s="6"/>
    </row>
    <row r="17" spans="1:40" x14ac:dyDescent="0.25">
      <c r="A17" s="7" t="s">
        <v>112</v>
      </c>
      <c r="B17" s="14">
        <v>3.2</v>
      </c>
      <c r="C17" s="14">
        <v>3.85</v>
      </c>
      <c r="D17" s="14">
        <v>7.65</v>
      </c>
      <c r="E17" s="14">
        <v>6.52</v>
      </c>
      <c r="F17" s="14">
        <v>23.04</v>
      </c>
      <c r="G17" s="14">
        <v>23.04</v>
      </c>
      <c r="H17" s="14">
        <v>23.04</v>
      </c>
      <c r="J17" s="7" t="s">
        <v>112</v>
      </c>
      <c r="K17" s="15">
        <v>2.3600000000000001E-3</v>
      </c>
      <c r="L17" s="15">
        <v>8.3700000000000007E-3</v>
      </c>
      <c r="M17" s="15">
        <v>8.3700000000000007E-3</v>
      </c>
      <c r="N17" s="15">
        <v>1.3995599999999999</v>
      </c>
      <c r="X17" s="6"/>
    </row>
    <row r="18" spans="1:40" x14ac:dyDescent="0.25">
      <c r="A18" s="7" t="s">
        <v>113</v>
      </c>
      <c r="B18" s="14">
        <v>3.2</v>
      </c>
      <c r="C18" s="14">
        <v>3.85</v>
      </c>
      <c r="D18" s="14">
        <v>7.65</v>
      </c>
      <c r="E18" s="14">
        <v>6.52</v>
      </c>
      <c r="F18" s="14">
        <v>47.37</v>
      </c>
      <c r="G18" s="14">
        <v>47.37</v>
      </c>
      <c r="H18" s="14">
        <v>47.37</v>
      </c>
      <c r="J18" s="7" t="s">
        <v>113</v>
      </c>
      <c r="K18" s="15">
        <v>2.3600000000000001E-3</v>
      </c>
      <c r="L18" s="15">
        <v>1.7229999999999999E-2</v>
      </c>
      <c r="M18" s="15">
        <v>1.7229999999999999E-2</v>
      </c>
      <c r="N18" s="15">
        <v>2.8780199999999998</v>
      </c>
      <c r="X18" s="6"/>
    </row>
    <row r="19" spans="1:40" x14ac:dyDescent="0.25">
      <c r="A19" s="7" t="s">
        <v>114</v>
      </c>
      <c r="B19" s="14">
        <v>3.2</v>
      </c>
      <c r="C19" s="14">
        <v>11.25</v>
      </c>
      <c r="D19" s="14">
        <v>22</v>
      </c>
      <c r="E19" s="14">
        <v>18.68</v>
      </c>
      <c r="F19" s="14">
        <v>18.670000000000002</v>
      </c>
      <c r="G19" s="14">
        <v>18.670000000000002</v>
      </c>
      <c r="H19" s="14">
        <v>18.670000000000002</v>
      </c>
      <c r="J19" s="7" t="s">
        <v>114</v>
      </c>
      <c r="K19" s="15">
        <v>5.3200000000000001E-3</v>
      </c>
      <c r="L19" s="15">
        <v>3.7699999999999999E-3</v>
      </c>
      <c r="M19" s="15">
        <v>3.7699999999999999E-3</v>
      </c>
      <c r="N19" s="15">
        <v>0.62994000000000006</v>
      </c>
      <c r="X19" s="6"/>
    </row>
    <row r="20" spans="1:40" x14ac:dyDescent="0.25">
      <c r="A20" s="7" t="s">
        <v>115</v>
      </c>
      <c r="B20" s="14">
        <v>3.2</v>
      </c>
      <c r="C20" s="14">
        <v>5.2</v>
      </c>
      <c r="D20" s="14">
        <v>10.35</v>
      </c>
      <c r="E20" s="14">
        <v>7.31</v>
      </c>
      <c r="F20" s="14">
        <v>4.83</v>
      </c>
      <c r="G20" s="14">
        <v>4.83</v>
      </c>
      <c r="H20" s="14">
        <v>4.83</v>
      </c>
      <c r="J20" s="7" t="s">
        <v>115</v>
      </c>
      <c r="K20" s="15">
        <v>8.8000000000000003E-4</v>
      </c>
      <c r="L20" s="15">
        <v>5.8E-4</v>
      </c>
      <c r="M20" s="15">
        <v>5.8E-4</v>
      </c>
      <c r="N20" s="15">
        <v>9.6030000000000004E-2</v>
      </c>
      <c r="X20" s="6"/>
    </row>
    <row r="21" spans="1:40" x14ac:dyDescent="0.25">
      <c r="A21" s="7" t="s">
        <v>116</v>
      </c>
      <c r="B21" s="14">
        <v>3.2</v>
      </c>
      <c r="C21" s="14">
        <v>5.2</v>
      </c>
      <c r="D21" s="14">
        <v>10.35</v>
      </c>
      <c r="E21" s="14">
        <v>9.11</v>
      </c>
      <c r="F21" s="14">
        <v>8.0399999999999991</v>
      </c>
      <c r="G21" s="14">
        <v>8.0399999999999991</v>
      </c>
      <c r="H21" s="14">
        <v>8.0399999999999991</v>
      </c>
      <c r="J21" s="7" t="s">
        <v>116</v>
      </c>
      <c r="K21" s="15">
        <v>1.1000000000000001E-3</v>
      </c>
      <c r="L21" s="15">
        <v>9.6000000000000002E-4</v>
      </c>
      <c r="M21" s="15">
        <v>9.6000000000000002E-4</v>
      </c>
      <c r="N21" s="15">
        <v>0.16008</v>
      </c>
      <c r="X21" s="6"/>
    </row>
    <row r="22" spans="1:40" x14ac:dyDescent="0.25">
      <c r="A22" s="7" t="s">
        <v>117</v>
      </c>
      <c r="B22" s="14">
        <v>3.2</v>
      </c>
      <c r="C22" s="14">
        <v>5.2</v>
      </c>
      <c r="D22" s="14">
        <v>10.35</v>
      </c>
      <c r="E22" s="14">
        <v>9.11</v>
      </c>
      <c r="F22" s="14">
        <v>7.45</v>
      </c>
      <c r="G22" s="14">
        <v>7.45</v>
      </c>
      <c r="H22" s="14">
        <v>7.45</v>
      </c>
      <c r="J22" s="7" t="s">
        <v>117</v>
      </c>
      <c r="K22" s="15">
        <v>1.1000000000000001E-3</v>
      </c>
      <c r="L22" s="15">
        <v>8.9999999999999998E-4</v>
      </c>
      <c r="M22" s="15">
        <v>8.9999999999999998E-4</v>
      </c>
      <c r="N22" s="15">
        <v>0.14829000000000001</v>
      </c>
      <c r="V22" s="17"/>
      <c r="W22" s="17"/>
      <c r="X22" s="6"/>
    </row>
    <row r="23" spans="1:40" x14ac:dyDescent="0.25">
      <c r="A23" s="1"/>
      <c r="V23" s="17"/>
      <c r="W23" s="17"/>
      <c r="X23" s="6"/>
    </row>
    <row r="24" spans="1:40" x14ac:dyDescent="0.25">
      <c r="A24" s="1"/>
      <c r="V24" s="17"/>
      <c r="W24" s="17"/>
      <c r="X24" s="6"/>
    </row>
    <row r="25" spans="1:40" s="9" customFormat="1" ht="12.75" x14ac:dyDescent="0.2">
      <c r="V25" s="17"/>
      <c r="W25" s="17"/>
      <c r="Y25" s="20"/>
      <c r="Z25" s="20"/>
      <c r="AA25" s="20"/>
      <c r="AD25" s="20"/>
      <c r="AE25" s="20"/>
      <c r="AF25" s="20"/>
    </row>
    <row r="26" spans="1:40" s="9" customFormat="1" ht="12.75" x14ac:dyDescent="0.2">
      <c r="A26" s="16"/>
      <c r="V26" s="20"/>
      <c r="W26" s="17"/>
      <c r="Y26" s="20"/>
      <c r="Z26" s="20"/>
      <c r="AA26" s="20"/>
      <c r="AD26" s="20"/>
      <c r="AE26" s="20"/>
      <c r="AF26" s="20"/>
    </row>
    <row r="27" spans="1:40" x14ac:dyDescent="0.25">
      <c r="A27" s="1"/>
      <c r="W27" s="17"/>
    </row>
    <row r="28" spans="1:40" x14ac:dyDescent="0.25">
      <c r="W28" s="17"/>
    </row>
    <row r="29" spans="1:40" x14ac:dyDescent="0.25">
      <c r="A29" s="1"/>
    </row>
    <row r="30" spans="1:40" ht="15.75" x14ac:dyDescent="0.25">
      <c r="A30" s="12" t="s">
        <v>118</v>
      </c>
      <c r="B30" s="13"/>
      <c r="C30" s="13"/>
      <c r="D30" s="13"/>
      <c r="E30" s="13"/>
      <c r="F30" s="13"/>
    </row>
    <row r="31" spans="1:40" ht="12.75" x14ac:dyDescent="0.2">
      <c r="C31" s="225" t="s">
        <v>119</v>
      </c>
      <c r="D31" s="225"/>
      <c r="E31" s="225"/>
      <c r="F31" s="225"/>
      <c r="G31" s="22"/>
      <c r="H31" s="22"/>
      <c r="I31" s="22"/>
      <c r="J31" s="22"/>
      <c r="K31" s="22"/>
      <c r="L31" s="22"/>
      <c r="M31" s="22"/>
      <c r="N31" s="22"/>
      <c r="O31" s="22"/>
      <c r="P31" s="22"/>
      <c r="Q31" s="22"/>
      <c r="R31" s="22"/>
      <c r="S31" s="22"/>
      <c r="T31" s="22"/>
      <c r="U31" s="22"/>
      <c r="V31" s="27"/>
      <c r="W31" s="27"/>
      <c r="X31" s="27" t="s">
        <v>120</v>
      </c>
      <c r="Y31" s="27"/>
      <c r="Z31" s="27"/>
      <c r="AA31" s="1"/>
      <c r="AB31" s="1"/>
      <c r="AC31" s="1"/>
      <c r="AD31" s="27"/>
      <c r="AE31" s="27"/>
      <c r="AF31" s="1"/>
    </row>
    <row r="32" spans="1:40" ht="26.25" x14ac:dyDescent="0.25">
      <c r="A32" s="1"/>
      <c r="B32" s="11"/>
      <c r="C32" s="11"/>
      <c r="D32" s="11"/>
      <c r="E32" s="11"/>
      <c r="F32" s="11"/>
      <c r="G32" s="11"/>
      <c r="H32" s="11"/>
      <c r="I32" s="11"/>
      <c r="J32" s="11"/>
      <c r="K32" s="11"/>
      <c r="L32" s="11"/>
      <c r="M32" s="11"/>
      <c r="N32" s="11"/>
      <c r="O32" s="11"/>
      <c r="P32" s="11"/>
      <c r="Q32" s="11"/>
      <c r="R32" s="11"/>
      <c r="S32" s="11"/>
      <c r="T32" s="11"/>
      <c r="U32" s="11"/>
      <c r="V32" s="11"/>
      <c r="W32" s="11"/>
      <c r="X32" s="17" t="s">
        <v>15</v>
      </c>
      <c r="Y32" t="s">
        <v>57</v>
      </c>
      <c r="Z32" s="17" t="s">
        <v>82</v>
      </c>
      <c r="AA32" s="17" t="s">
        <v>74</v>
      </c>
      <c r="AB32" s="17" t="s">
        <v>60</v>
      </c>
      <c r="AC32" s="17" t="s">
        <v>62</v>
      </c>
      <c r="AD32" s="17" t="s">
        <v>64</v>
      </c>
      <c r="AE32" s="17" t="s">
        <v>69</v>
      </c>
      <c r="AF32" s="17" t="s">
        <v>70</v>
      </c>
      <c r="AG32" s="17" t="s">
        <v>71</v>
      </c>
      <c r="AH32" s="17" t="s">
        <v>73</v>
      </c>
      <c r="AI32" s="17" t="s">
        <v>59</v>
      </c>
      <c r="AJ32" s="17" t="s">
        <v>75</v>
      </c>
      <c r="AK32" s="17" t="s">
        <v>77</v>
      </c>
      <c r="AL32" s="17" t="s">
        <v>86</v>
      </c>
      <c r="AM32" s="17" t="s">
        <v>68</v>
      </c>
      <c r="AN32" s="17" t="s">
        <v>66</v>
      </c>
    </row>
    <row r="33" spans="1:40" s="6" customFormat="1" ht="26.25" x14ac:dyDescent="0.25">
      <c r="B33" s="17"/>
      <c r="C33" s="17" t="s">
        <v>15</v>
      </c>
      <c r="D33" t="s">
        <v>57</v>
      </c>
      <c r="E33" s="17" t="s">
        <v>82</v>
      </c>
      <c r="F33" s="17" t="s">
        <v>59</v>
      </c>
      <c r="G33" s="17" t="s">
        <v>60</v>
      </c>
      <c r="H33" s="17" t="s">
        <v>62</v>
      </c>
      <c r="I33" s="17" t="s">
        <v>64</v>
      </c>
      <c r="J33" s="17" t="s">
        <v>69</v>
      </c>
      <c r="K33" s="17" t="s">
        <v>70</v>
      </c>
      <c r="L33" s="17" t="s">
        <v>71</v>
      </c>
      <c r="M33" s="17" t="s">
        <v>73</v>
      </c>
      <c r="N33" s="17" t="s">
        <v>74</v>
      </c>
      <c r="O33" s="17" t="s">
        <v>75</v>
      </c>
      <c r="P33" s="17" t="s">
        <v>77</v>
      </c>
      <c r="Q33" s="17" t="s">
        <v>86</v>
      </c>
      <c r="R33" s="17" t="s">
        <v>68</v>
      </c>
      <c r="S33" s="17" t="s">
        <v>66</v>
      </c>
      <c r="T33" s="17"/>
      <c r="U33" s="17"/>
      <c r="V33" s="23" t="s">
        <v>121</v>
      </c>
      <c r="W33" s="23" t="s">
        <v>122</v>
      </c>
      <c r="X33" s="24" t="s">
        <v>115</v>
      </c>
      <c r="Y33" s="24" t="s">
        <v>116</v>
      </c>
      <c r="Z33" s="23" t="s">
        <v>117</v>
      </c>
      <c r="AA33" s="23" t="s">
        <v>109</v>
      </c>
      <c r="AM33" s="28" t="s">
        <v>114</v>
      </c>
      <c r="AN33" s="23" t="s">
        <v>113</v>
      </c>
    </row>
    <row r="34" spans="1:40" ht="12.75" customHeight="1" x14ac:dyDescent="0.2">
      <c r="A34" s="31">
        <f>Calculator!$C$20</f>
        <v>1156</v>
      </c>
      <c r="B34" s="1">
        <f>A34</f>
        <v>1156</v>
      </c>
      <c r="C34" s="8">
        <f>(IF($B34&lt;=680,$C$20,IF(AND($B34&gt;=681,$B34&lt;=1999),$D$20,IF(AND($B34&gt;=2000,$B34&lt;=5000),$E$20,IF(AND($B34&gt;=5001,$B34&lt;=7999),$F$20,IF(AND($B34&gt;=8000,$B34&lt;=30000),$G$20,IF($B34&gt;=30001,$H$20))))))+IF($B34&lt;=1999,0,IF(AND($B34&gt;=2000,$B34&lt;=5000),$K$20,IF(AND($B34&gt;=5001,$B34&lt;=30000),$L$20,IF($B34&gt;=30001,$N$20,0))))*(IF($B34&lt;=30000,($B34-2000),SQRT($B34-2000))))</f>
        <v>10.35</v>
      </c>
      <c r="D34" s="8">
        <f>(IF($B34&lt;=680,$C$21,IF(AND($B34&gt;=681,$B34&lt;=1999),$D$21,IF(AND($B34&gt;=2000,$B34&lt;=5000),$E$21,IF(AND($B34&gt;=5001,$B34&lt;=7999),$F$21,IF(AND($B34&gt;=8000,$B34&lt;=30000),$G$21,IF($B34&gt;=30001,$H$21))))))+IF($B34&lt;=1999,0,IF(AND($B34&gt;=2000,$B34&lt;=5000),$K$21,IF(AND($B34&gt;=5001,$B34&lt;=30000),$L$21,IF($B34&gt;=30001,$N$21,0))))*(IF($B34&lt;=30000,($B34-2000),SQRT($B34-2000))))</f>
        <v>10.35</v>
      </c>
      <c r="E34" s="8">
        <f>(IF($B34&lt;=680,$C$22,IF(AND($B34&gt;=681,$B34&lt;=1999),$D$22,IF(AND($B34&gt;=2000,$B34&lt;=5000),$E$22,IF(AND($B34&gt;=5001,$B34&lt;=7999),$F$22,IF(AND($B34&gt;=8000,$B34&lt;=30000),$G$22,IF($B34&gt;=30001,$H$22))))))+IF($B34&lt;=1999,0,IF(AND($B34&gt;=2000,$B34&lt;=5000),$K$22,IF(AND($B34&gt;=5001,$B34&lt;=30000),$L$22,IF($B34&gt;=30001,$N$22,0))))*(IF($B34&lt;=30000,($B34-2000),SQRT($B34-2000))))</f>
        <v>10.35</v>
      </c>
      <c r="F34" s="8">
        <f>(IF($B34&lt;=680,$C$6,IF(AND($B34&gt;=681,$B34&lt;=1999),$D$6,IF(AND($B34&gt;=2000,$B34&lt;=5000),$E$6,IF(AND($B34&gt;=5001,$B34&lt;=7999),$F$6,IF(AND($B34&gt;=8000,$B34&lt;=30000),$G$6,IF($B34&gt;=30001,$H$6))))))+IF($B34&lt;=1999,0,IF(AND($B34&gt;=2000,$B34&lt;=5000),$K$6,IF(AND($B34&gt;=5001,$B34&lt;=30000),$L$6,IF($B34&gt;=30001,$N$6,0))))*(IF($B34&lt;=30000,($B34-2000),SQRT($B34-2000))))</f>
        <v>7.65</v>
      </c>
      <c r="G34" s="8">
        <f>(IF($B34&lt;=680,$C$7,IF(AND($B34&gt;=681,$B34&lt;=1999),$D$7,IF(AND($B34&gt;=2000,$B34&lt;=5000),$E$7,IF(AND($B34&gt;=5001,$B34&lt;=7999),$F$7,IF(AND($B34&gt;=8000,$B34&lt;=30000),$G$7,IF($B34&gt;=30001,$H$7))))))+IF($B34&lt;=1999,0,IF(AND($B34&gt;=2000,$B34&lt;=5000),$K$7,IF(AND($B34&gt;=5001,$B34&lt;=30000),$L$7,IF($B34&gt;=30001,$N$7,0))))*(IF($B34&lt;=30000,($B34-2000),SQRT($B34-2000))))</f>
        <v>7.65</v>
      </c>
      <c r="H34" s="8">
        <f>(IF($B34&lt;=680,$C$8,IF(AND($B34&gt;=681,$B34&lt;=1999),$D$8,IF(AND($B34&gt;=2000,$B34&lt;=5000),$E$8,IF(AND($B34&gt;=5001,$B34&lt;=7999),$F$8,IF(AND($B34&gt;=8000,$B34&lt;=30000),$G$8,IF($B34&gt;=30001,$H$8))))))+IF($B34&lt;=1999,0,IF(AND($B34&gt;=2000,$B34&lt;=5000),$K$8,IF(AND($B34&gt;=5001,$B34&lt;=30000),$L$8,IF($B34&gt;=30001,$N$8,0))))*(IF($B34&lt;=30000,($B34-2000),SQRT($B34-2000))))</f>
        <v>7.65</v>
      </c>
      <c r="I34" s="8">
        <f>(IF($B34&lt;=680,$C$9,IF(AND($B34&gt;=681,$B34&lt;=1999),$D$9,IF(AND($B34&gt;=2000,$B34&lt;=5000),$E$9,IF(AND($B34&gt;=5001,$B34&lt;=7999),$F$9,IF(AND($B34&gt;=8000,$B34&lt;=30000),$G$9,IF($B34&gt;=30001,$H$9))))))+IF($B34&lt;=1999,0,IF(AND($B34&gt;=2000,$B34&lt;=5000),$K$9,IF(AND($B34&gt;=5001,$B34&lt;=30000),$L$9,IF($B34&gt;=30001,$N$9,0))))*(IF($B34&lt;=30000,($B34-2000),SQRT($B34-2000))))</f>
        <v>7.65</v>
      </c>
      <c r="J34" s="8">
        <f>(IF($B34&lt;=680,$C$10,IF(AND($B34&gt;=681,$B34&lt;=1999),$D$10,IF(AND($B34&gt;=2000,$B34&lt;=5000),$E$10,IF(AND($B34&gt;=5001,$B34&lt;=7999),$F$10,IF(AND($B34&gt;=8000,$B34&lt;=30000),$G$10,IF($B34&gt;=30001,$H$10))))))+IF($B34&lt;=1999,0,IF(AND($B34&gt;=2000,$B34&lt;=5000),$K$10,IF(AND($B34&gt;=5001,$B34&lt;=30000),$L$10,IF($B34&gt;=30001,$N$10,0))))*(IF($B34&lt;=30000,($B34-2000),SQRT($B34-2000))))</f>
        <v>7.65</v>
      </c>
      <c r="K34" s="8">
        <f>(IF($B34&lt;=680,$C$11,IF(AND($B34&gt;=681,$B34&lt;=1999),$D$11,IF(AND($B34&gt;=2000,$B34&lt;=5000),$E$11,IF(AND($B34&gt;=5001,$B34&lt;=7999),$F$11,IF(AND($B34&gt;=8000,$B34&lt;=30000),$G$11,IF($B34&gt;=30001,$H$11))))))+IF($B34&lt;=1999,0,IF(AND($B34&gt;=2000,$B34&lt;=5000),$K$11,IF(AND($B34&gt;=5001,$B34&lt;=30000),$L$11,IF($B34&gt;=30001,$N$11,0))))*(IF($B34&lt;=30000,($B34-2000),SQRT($B34-2000))))</f>
        <v>7.65</v>
      </c>
      <c r="L34" s="8">
        <f>(IF($B34&lt;=680,$C$12,IF(AND($B34&gt;=681,$B34&lt;=1999),$D$12,IF(AND($B34&gt;=2000,$B34&lt;=5000),$E$12,IF(AND($B34&gt;=5001,$B34&lt;=7999),$F$12,IF(AND($B34&gt;=8000,$B34&lt;=30000),$G$12,IF($B34&gt;=30001,$H$12))))))+IF($B34&lt;=1999,0,IF(AND($B34&gt;=2000,$B34&lt;=5000),$K$12,IF(AND($B34&gt;=5001,$B34&lt;=30000),$L$12,IF($B34&gt;=30001,$N$12,0))))*(IF($B34&lt;=30000,($B34-2000),SQRT($B34-2000))))</f>
        <v>7.65</v>
      </c>
      <c r="M34" s="8">
        <f>(IF($B34&lt;=680,$C$13,IF(AND($B34&gt;=681,$B34&lt;=1999),$D$13,IF(AND($B34&gt;=2000,$B34&lt;=5000),$E$13,IF(AND($B34&gt;=5001,$B34&lt;=7999),$F$13,IF(AND($B34&gt;=8000,$B34&lt;=30000),$G$13,IF($B34&gt;=30001,$H$13))))))+IF($B34&lt;=1999,0,IF(AND($B34&gt;=2000,$B34&lt;=5000),$K$13,IF(AND($B34&gt;=5001,$B34&lt;=30000),$L$13,IF($B34&gt;=30001,$N$13,0))))*(IF($B34&lt;=30000,($B34-2000),SQRT($B34-2000))))</f>
        <v>7.65</v>
      </c>
      <c r="N34" s="8">
        <f>(IF($B34&lt;=680,$C$14,IF(AND($B34&gt;=681,$B34&lt;=1999),$D$14,IF(AND($B34&gt;=2000,$B34&lt;=5000),$E$14,IF(AND($B34&gt;=5001,$B34&lt;=7999),$F$14,IF(AND($B34&gt;=8000,$B34&lt;=30000),$G$14,IF($B34&gt;=30001,$H$14))))))+IF($B34&lt;=1999,0,IF(AND($B34&gt;=2000,$B34&lt;=5000),$K$14,IF(AND($B34&gt;=5001,$B34&lt;=30000),$L$14,IF($B34&gt;=30001,$N$14,0))))*(IF($B34&lt;=30000,($B34-2000),SQRT($B34-2000))))</f>
        <v>7.65</v>
      </c>
      <c r="O34" s="8">
        <f>(IF($B34&lt;=680,$C$15,IF(AND($B34&gt;=681,$B34&lt;=1999),$D$15,IF(AND($B34&gt;=2000,$B34&lt;=5000),$E$15,IF(AND($B34&gt;=5001,$B34&lt;=7999),$F$15,IF(AND($B34&gt;=8000,$B34&lt;=30000),$G$15,IF($B34&gt;=30001,$H$15))))))+IF($B34&lt;=1999,0,IF(AND($B34&gt;=2000,$B34&lt;=5000),$K$15,IF(AND($B34&gt;=5001,$B34&lt;=30000),$L$15,IF($B34&gt;=30001,$N$15,0))))*(IF($B34&lt;=30000,($B34-2000),SQRT($B34-2000))))</f>
        <v>7.65</v>
      </c>
      <c r="P34" s="8">
        <f>(IF($B34&lt;=680,$C$16,IF(AND($B34&gt;=681,$B34&lt;=1999),$D$16,IF(AND($B34&gt;=2000,$B34&lt;=5000),$E$16,IF(AND($B34&gt;=5001,$B34&lt;=7999),$F$16,IF(AND($B34&gt;=8000,$B34&lt;=30000),$G$16,IF($B34&gt;=30001,$H$16))))))+IF($B34&lt;=1999,0,IF(AND($B34&gt;=2000,$B34&lt;=5000),$K$16,IF(AND($B34&gt;=5001,$B34&lt;=30000),$L$16,IF($B34&gt;=30001,$N$16,0))))*(IF($B34&lt;=30000,($B34-2000),SQRT($B34-2000))))</f>
        <v>7.65</v>
      </c>
      <c r="Q34" s="8">
        <f>(IF($B34&lt;=680,$C$17,IF(AND($B34&gt;=681,$B34&lt;=1999),$D$17,IF(AND($B34&gt;=2000,$B34&lt;=5000),$E$17,IF(AND($B34&gt;=5001,$B34&lt;=7999),$F$17,IF(AND($B34&gt;=8000,$B34&lt;=30000),$G$17,IF($B34&gt;=30001,$H$17))))))+IF($B34&lt;=1999,0,IF(AND($B34&gt;=2000,$B34&lt;=5000),$K$17,IF(AND($B34&gt;=5001,$B34&lt;=30000),$L$17,IF($B34&gt;=30001,$N$17,0))))*(IF($B34&lt;=30000,($B34-2000),SQRT($B34-2000))))</f>
        <v>7.65</v>
      </c>
      <c r="R34" s="8">
        <f>IF($B34&gt;5000,"n/a",(IF($B34&lt;=680,$C$19,IF(AND($B34&gt;=681,$B34&lt;=1999),$D$19,IF(AND($B34&gt;=2000,$B34&lt;=5000),$E$19,IF(AND($B34&gt;=5001,$B34&lt;=7999),$F$19,IF(AND($B34&gt;=8000,$B34&lt;=30000),$G$19,IF($B34&gt;=30001,$H$19))))))+IF($B34&lt;=1999,0,IF(AND($B34&gt;=2000,$B34&lt;=5000),$K$19,IF(AND($B34&gt;=5001,$B34&lt;=30000),$L$19,IF($B34&gt;=30001,$N$19,0))))*(IF($B34&lt;=30000,($B34-2000),SQRT($B34-2000)))))</f>
        <v>22</v>
      </c>
      <c r="S34" s="8">
        <f>(IF($B34&lt;=680,$C$18,IF(AND($B34&gt;=681,$B34&lt;=1999),$D$18,IF(AND($B34&gt;=2000,$B34&lt;=5000),$E$18,IF(AND($B34&gt;=5001,$B34&lt;=7999),$F$18,IF(AND($B34&gt;=8000,$B34&lt;=30000),$G$18,IF($B34&gt;=30001,$H$18))))))+IF($B34&lt;=1999,0,IF(AND($B34&gt;=2000,$B34&lt;=5000),$K$18,IF(AND($B34&gt;=5001,$B34&lt;=30000),$L$18,IF($B34&gt;=30001,$N$18,0))))*(IF($B34&lt;=30000,($B34-2000),SQRT($B34-2000))))</f>
        <v>7.65</v>
      </c>
      <c r="T34" s="8"/>
      <c r="U34" s="8"/>
      <c r="V34" s="25" t="e">
        <f>IF($A34&lt;=5000,MAX((HLOOKUP(V$33,#REF!,4,FALSE)*($A34/1000)),(HLOOKUP(V$33,#REF!,3,FALSE))),IF(AND($A34&gt;5000,$A34&lt;=30000),HLOOKUP(V$33,#REF!,5,FALSE)+HLOOKUP(V$33,#REF!,8,FALSE)*(($A34-5000)/1000),HLOOKUP(V$33,#REF!,5,FALSE)+HLOOKUP(V$33,#REF!,8,FALSE)*(5*SQRT(($A34/1000)-5))))</f>
        <v>#REF!</v>
      </c>
      <c r="W34" s="25" t="e">
        <f>IF($A34&lt;=5000,MAX((HLOOKUP(W$33,#REF!,4,FALSE)*($A34/1000)),(HLOOKUP(W$33,#REF!,3,FALSE))),IF(AND($A34&gt;5000,$A34&lt;=30000),HLOOKUP(W$33,#REF!,5,FALSE)+HLOOKUP(W$33,#REF!,8,FALSE)*(($A34-5000)/1000),HLOOKUP(W$33,#REF!,5,FALSE)+HLOOKUP(W$33,#REF!,8,FALSE)*(5*SQRT(($A34/1000)-5))))</f>
        <v>#REF!</v>
      </c>
      <c r="X34" s="25" t="e">
        <f>IF($A34&lt;=5000,MAX((HLOOKUP(X$33,#REF!,4,FALSE)*($A34/1000)),(HLOOKUP(X$33,#REF!,3,FALSE))),IF(AND($A34&gt;5000,$A34&lt;=30000),HLOOKUP(X$33,#REF!,5,FALSE)+HLOOKUP(X$33,#REF!,8,FALSE)*(($A34-5000)/1000),HLOOKUP(X$33,#REF!,5,FALSE)+HLOOKUP(X$33,#REF!,8,FALSE)*(5*SQRT(($A34/1000)-5))))</f>
        <v>#REF!</v>
      </c>
      <c r="Y34" s="25" t="e">
        <f>IF($A34&lt;=5000,MAX((HLOOKUP(Y$33,#REF!,4,FALSE)*($A34/1000)),(HLOOKUP(Y$33,#REF!,3,FALSE))),IF(AND($A34&gt;5000,$A34&lt;=30000),HLOOKUP(Y$33,#REF!,5,FALSE)+HLOOKUP(Y$33,#REF!,8,FALSE)*(($A34-5000)/1000),HLOOKUP(Y$33,#REF!,5,FALSE)+HLOOKUP(Y$33,#REF!,8,FALSE)*(5*SQRT(($A34/1000)-5))))</f>
        <v>#REF!</v>
      </c>
      <c r="Z34" s="25" t="e">
        <f>IF($A34&lt;=5000,MAX((HLOOKUP(Z$33,#REF!,4,FALSE)*($A34/1000)),(HLOOKUP(Z$33,#REF!,3,FALSE))),IF(AND($A34&gt;5000,$A34&lt;=30000),HLOOKUP(Z$33,#REF!,5,FALSE)+HLOOKUP(Z$33,#REF!,8,FALSE)*(($A34-5000)/1000),HLOOKUP(Z$33,#REF!,5,FALSE)+HLOOKUP(Z$33,#REF!,8,FALSE)*(5*SQRT(($A34/1000)-5))))</f>
        <v>#REF!</v>
      </c>
      <c r="AA34" s="25" t="e">
        <f>IF($A34&lt;=5000,MAX((HLOOKUP(AA$33,#REF!,4,FALSE)*($A34/1000)),(HLOOKUP(AA$33,#REF!,3,FALSE))),IF(AND($A34&gt;5000,$A34&lt;=30000),HLOOKUP(AA$33,#REF!,5,FALSE)+HLOOKUP(AA$33,#REF!,8,FALSE)*(($A34-5000)/1000),HLOOKUP(AA$33,#REF!,5,FALSE)+HLOOKUP(AA$33,#REF!,8,FALSE)*(5*SQRT(($A34/1000)-5))))</f>
        <v>#REF!</v>
      </c>
      <c r="AB34" s="8" t="e">
        <f>W34</f>
        <v>#REF!</v>
      </c>
      <c r="AC34" s="8" t="e">
        <f>V34</f>
        <v>#REF!</v>
      </c>
      <c r="AD34" s="8" t="e">
        <f>W34</f>
        <v>#REF!</v>
      </c>
      <c r="AE34" s="8" t="e">
        <f>W34</f>
        <v>#REF!</v>
      </c>
      <c r="AF34" s="30" t="e">
        <f>V34</f>
        <v>#REF!</v>
      </c>
      <c r="AG34" s="30" t="e">
        <f>W34</f>
        <v>#REF!</v>
      </c>
      <c r="AH34" s="30" t="e">
        <f>V34</f>
        <v>#REF!</v>
      </c>
      <c r="AI34" s="30" t="e">
        <f>W34</f>
        <v>#REF!</v>
      </c>
      <c r="AJ34" s="30" t="e">
        <f>W34</f>
        <v>#REF!</v>
      </c>
      <c r="AK34" s="30" t="e">
        <f>V34</f>
        <v>#REF!</v>
      </c>
      <c r="AL34" s="30" t="e">
        <f>W34</f>
        <v>#REF!</v>
      </c>
      <c r="AM34" s="25" t="e">
        <f>IF($A34&lt;=5000,MAX(#REF!,(HLOOKUP(AM$33,#REF!,4,FALSE)*($A34/1000))),"n/a")</f>
        <v>#REF!</v>
      </c>
      <c r="AN34" s="25" t="e">
        <f>IF($A34&lt;=5000,MAX((HLOOKUP(AN$33,#REF!,4,FALSE)*($A34/1000)),(HLOOKUP(AN$33,#REF!,3,FALSE))),IF(AND($A34&gt;5000,$A34&lt;=30000),HLOOKUP(AN$33,#REF!,5,FALSE)+HLOOKUP(AN$33,#REF!,8,FALSE)*(($A34-5000)/1000),HLOOKUP(AN$33,#REF!,5,FALSE)+HLOOKUP(AN$33,#REF!,8,FALSE)*(5*SQRT(($A34/1000)-5))))</f>
        <v>#REF!</v>
      </c>
    </row>
    <row r="35" spans="1:40" x14ac:dyDescent="0.25">
      <c r="A35" s="26"/>
      <c r="C35" s="8"/>
      <c r="D35" s="8"/>
      <c r="E35" s="8"/>
      <c r="F35" s="8"/>
    </row>
    <row r="36" spans="1:40" x14ac:dyDescent="0.25">
      <c r="A36" s="26"/>
      <c r="C36" s="8"/>
      <c r="D36" s="8"/>
      <c r="E36" s="8"/>
      <c r="F36" s="8"/>
    </row>
    <row r="37" spans="1:40" ht="15.75" x14ac:dyDescent="0.25">
      <c r="A37" s="12" t="s">
        <v>123</v>
      </c>
      <c r="B37" s="13"/>
      <c r="C37" s="13"/>
      <c r="D37" s="13"/>
      <c r="E37" s="13"/>
      <c r="F37" s="13"/>
    </row>
    <row r="39" spans="1:40" x14ac:dyDescent="0.25">
      <c r="E39" s="1" t="s">
        <v>124</v>
      </c>
    </row>
    <row r="40" spans="1:40" x14ac:dyDescent="0.25">
      <c r="A40" s="224" t="s">
        <v>125</v>
      </c>
      <c r="B40" s="224"/>
      <c r="C40" s="224"/>
      <c r="D40" s="224"/>
      <c r="E40" s="224"/>
      <c r="F40" s="224"/>
      <c r="G40" s="224"/>
      <c r="H40" s="224"/>
      <c r="I40" s="224"/>
      <c r="J40" s="224"/>
    </row>
    <row r="41" spans="1:40" x14ac:dyDescent="0.25">
      <c r="A41" s="36"/>
      <c r="B41" s="229" t="s">
        <v>126</v>
      </c>
      <c r="C41" s="227"/>
      <c r="D41" s="227"/>
      <c r="E41" s="228"/>
      <c r="F41" s="226" t="s">
        <v>127</v>
      </c>
      <c r="G41" s="227"/>
      <c r="H41" s="227"/>
      <c r="I41" s="228"/>
      <c r="J41" s="226" t="s">
        <v>128</v>
      </c>
      <c r="K41" s="227"/>
      <c r="L41" s="227"/>
      <c r="M41" s="227"/>
      <c r="N41" s="226" t="s">
        <v>129</v>
      </c>
      <c r="O41" s="227"/>
      <c r="P41" s="227"/>
      <c r="Q41" s="227"/>
      <c r="R41" s="226" t="s">
        <v>130</v>
      </c>
      <c r="S41" s="227"/>
      <c r="T41" s="227"/>
      <c r="U41" s="227"/>
    </row>
    <row r="42" spans="1:40" ht="39" thickBot="1" x14ac:dyDescent="0.3">
      <c r="A42" s="36"/>
      <c r="B42" s="75" t="str">
        <f>'[3]Airways Aerodrome'!B42</f>
        <v>2021/22 Prices</v>
      </c>
      <c r="C42" s="75" t="str">
        <f>'[3]Airways Aerodrome'!C42</f>
        <v>2022/23 Prices</v>
      </c>
      <c r="D42" s="75" t="str">
        <f>'[3]Airways Aerodrome'!D42</f>
        <v>2023/24 Prices</v>
      </c>
      <c r="E42" s="75" t="str">
        <f>'[3]Airways Aerodrome'!E42</f>
        <v>2024/25 Prices</v>
      </c>
      <c r="F42" s="75" t="str">
        <f>'[3]Airways Aerodrome'!F42</f>
        <v>2021/22 Prices</v>
      </c>
      <c r="G42" s="75" t="str">
        <f>'[3]Airways Aerodrome'!G42</f>
        <v>2022/23 Prices</v>
      </c>
      <c r="H42" s="75" t="str">
        <f>'[3]Airways Aerodrome'!H42</f>
        <v>2023/24 Prices</v>
      </c>
      <c r="I42" s="75" t="str">
        <f>'[3]Airways Aerodrome'!I42</f>
        <v>2024/25 Prices</v>
      </c>
      <c r="J42" s="75" t="str">
        <f>'[3]Airways Aerodrome'!J42</f>
        <v>2021/22 Prices</v>
      </c>
      <c r="K42" s="75" t="str">
        <f>'[3]Airways Aerodrome'!K42</f>
        <v>2022/23 Prices</v>
      </c>
      <c r="L42" s="75" t="str">
        <f>'[3]Airways Aerodrome'!L42</f>
        <v>2023/24 Prices</v>
      </c>
      <c r="M42" s="75" t="str">
        <f>'[3]Airways Aerodrome'!M42</f>
        <v>2024/25 Prices</v>
      </c>
      <c r="N42" s="75" t="str">
        <f>'[3]Airways Aerodrome'!N42</f>
        <v>2021/22 Prices</v>
      </c>
      <c r="O42" s="75" t="str">
        <f>'[3]Airways Aerodrome'!O42</f>
        <v>2022/23 Prices</v>
      </c>
      <c r="P42" s="75" t="str">
        <f>'[3]Airways Aerodrome'!P42</f>
        <v>2023/24 Prices</v>
      </c>
      <c r="Q42" s="75" t="str">
        <f>'[3]Airways Aerodrome'!Q42</f>
        <v>2024/25 Prices</v>
      </c>
      <c r="R42" s="75" t="str">
        <f>'[3]Airways Aerodrome'!R42</f>
        <v>2021/22 Prices</v>
      </c>
      <c r="S42" s="75" t="str">
        <f>'[3]Airways Aerodrome'!S42</f>
        <v>2022/23 Prices</v>
      </c>
      <c r="T42" s="75" t="str">
        <f>'[3]Airways Aerodrome'!T42</f>
        <v>2023/24 Prices</v>
      </c>
      <c r="U42" s="75" t="str">
        <f>'[3]Airways Aerodrome'!U42</f>
        <v>2024/25 Prices</v>
      </c>
      <c r="V42" s="1"/>
      <c r="W42" s="1"/>
      <c r="X42" s="20"/>
      <c r="Z42" s="1"/>
      <c r="AB42" s="20"/>
      <c r="AC42" s="20"/>
      <c r="AD42"/>
      <c r="AE42"/>
      <c r="AG42" s="20"/>
      <c r="AH42" s="20"/>
    </row>
    <row r="43" spans="1:40" ht="15.75" thickBot="1" x14ac:dyDescent="0.3">
      <c r="A43" s="82" t="s">
        <v>15</v>
      </c>
      <c r="B43" s="157">
        <v>11.9</v>
      </c>
      <c r="C43" s="158">
        <v>12.42</v>
      </c>
      <c r="D43" s="158">
        <v>12.72</v>
      </c>
      <c r="E43" s="173">
        <v>12.94</v>
      </c>
      <c r="F43" s="157">
        <v>15.45</v>
      </c>
      <c r="G43" s="158">
        <v>16.13</v>
      </c>
      <c r="H43" s="158">
        <v>16.52</v>
      </c>
      <c r="I43" s="173">
        <v>16.8</v>
      </c>
      <c r="J43" s="157">
        <v>4.5199999999999996</v>
      </c>
      <c r="K43" s="158">
        <v>4.58</v>
      </c>
      <c r="L43" s="158">
        <v>4.16</v>
      </c>
      <c r="M43" s="173">
        <v>4.13</v>
      </c>
      <c r="N43" s="157">
        <v>3.91</v>
      </c>
      <c r="O43" s="154">
        <v>4.08</v>
      </c>
      <c r="P43" s="154">
        <v>4.18</v>
      </c>
      <c r="Q43" s="177">
        <v>4.25</v>
      </c>
      <c r="R43" s="162">
        <v>0</v>
      </c>
      <c r="S43" s="163">
        <v>0</v>
      </c>
      <c r="T43" s="163">
        <v>0</v>
      </c>
      <c r="U43" s="164">
        <v>0</v>
      </c>
      <c r="V43" s="1"/>
      <c r="W43" s="1"/>
      <c r="AA43" s="1"/>
      <c r="AB43" s="20"/>
      <c r="AC43" s="20"/>
      <c r="AE43"/>
      <c r="AF43"/>
      <c r="AG43" s="20"/>
      <c r="AH43" s="20"/>
      <c r="AI43" s="20"/>
    </row>
    <row r="44" spans="1:40" ht="15.75" thickBot="1" x14ac:dyDescent="0.3">
      <c r="A44" s="64" t="s">
        <v>57</v>
      </c>
      <c r="B44" s="159">
        <v>11.9</v>
      </c>
      <c r="C44" s="155">
        <v>12.42</v>
      </c>
      <c r="D44" s="155">
        <v>12.72</v>
      </c>
      <c r="E44" s="175">
        <v>12.94</v>
      </c>
      <c r="F44" s="159">
        <v>15.45</v>
      </c>
      <c r="G44" s="155">
        <v>16.13</v>
      </c>
      <c r="H44" s="155">
        <v>16.52</v>
      </c>
      <c r="I44" s="175">
        <v>16.8</v>
      </c>
      <c r="J44" s="159">
        <v>7.4</v>
      </c>
      <c r="K44" s="155">
        <v>8.06</v>
      </c>
      <c r="L44" s="155">
        <v>8.15</v>
      </c>
      <c r="M44" s="178">
        <v>8.0500000000000007</v>
      </c>
      <c r="N44" s="159">
        <v>3.91</v>
      </c>
      <c r="O44" s="155">
        <v>4.08</v>
      </c>
      <c r="P44" s="155">
        <v>4.18</v>
      </c>
      <c r="Q44" s="176">
        <v>4.25</v>
      </c>
      <c r="R44" s="165">
        <v>0</v>
      </c>
      <c r="S44" s="120">
        <v>0</v>
      </c>
      <c r="T44" s="120">
        <v>0</v>
      </c>
      <c r="U44" s="166">
        <v>0</v>
      </c>
      <c r="V44" s="1"/>
      <c r="W44" s="1"/>
      <c r="AA44" s="1"/>
      <c r="AB44" s="20"/>
      <c r="AC44" s="20"/>
      <c r="AE44"/>
      <c r="AF44"/>
      <c r="AG44" s="20"/>
      <c r="AH44" s="20"/>
      <c r="AI44" s="20"/>
    </row>
    <row r="45" spans="1:40" ht="15.75" thickBot="1" x14ac:dyDescent="0.3">
      <c r="A45" s="63" t="s">
        <v>82</v>
      </c>
      <c r="B45" s="160">
        <v>11.9</v>
      </c>
      <c r="C45" s="154">
        <v>12.42</v>
      </c>
      <c r="D45" s="154">
        <v>12.72</v>
      </c>
      <c r="E45" s="175">
        <v>12.94</v>
      </c>
      <c r="F45" s="160">
        <v>15.45</v>
      </c>
      <c r="G45" s="154">
        <v>16.13</v>
      </c>
      <c r="H45" s="154">
        <v>16.52</v>
      </c>
      <c r="I45" s="175">
        <v>16.8</v>
      </c>
      <c r="J45" s="160">
        <v>10.79</v>
      </c>
      <c r="K45" s="154">
        <v>11.41</v>
      </c>
      <c r="L45" s="154">
        <v>9.84</v>
      </c>
      <c r="M45" s="175">
        <v>9.7899999999999991</v>
      </c>
      <c r="N45" s="160">
        <v>3.91</v>
      </c>
      <c r="O45" s="154">
        <v>4.08</v>
      </c>
      <c r="P45" s="154">
        <v>4.18</v>
      </c>
      <c r="Q45" s="177">
        <v>4.25</v>
      </c>
      <c r="R45" s="165">
        <v>0</v>
      </c>
      <c r="S45" s="120">
        <v>0</v>
      </c>
      <c r="T45" s="120">
        <v>0</v>
      </c>
      <c r="U45" s="166">
        <v>0</v>
      </c>
      <c r="V45" s="1"/>
      <c r="W45" s="1"/>
      <c r="AA45" s="1"/>
      <c r="AB45" s="20"/>
      <c r="AC45" s="20"/>
      <c r="AE45"/>
      <c r="AF45"/>
      <c r="AG45" s="20"/>
      <c r="AH45" s="20"/>
      <c r="AI45" s="20"/>
    </row>
    <row r="46" spans="1:40" ht="15.75" thickBot="1" x14ac:dyDescent="0.3">
      <c r="A46" s="64" t="s">
        <v>74</v>
      </c>
      <c r="B46" s="159">
        <v>8.31</v>
      </c>
      <c r="C46" s="155">
        <v>8.68</v>
      </c>
      <c r="D46" s="155">
        <v>8.89</v>
      </c>
      <c r="E46" s="178">
        <v>9.0399999999999991</v>
      </c>
      <c r="F46" s="159">
        <v>15.45</v>
      </c>
      <c r="G46" s="155">
        <v>16.13</v>
      </c>
      <c r="H46" s="155">
        <v>16.52</v>
      </c>
      <c r="I46" s="175">
        <v>16.8</v>
      </c>
      <c r="J46" s="159">
        <v>9.0399999999999991</v>
      </c>
      <c r="K46" s="155">
        <v>9.85</v>
      </c>
      <c r="L46" s="155">
        <v>9.93</v>
      </c>
      <c r="M46" s="178">
        <v>9.81</v>
      </c>
      <c r="N46" s="159">
        <v>3.91</v>
      </c>
      <c r="O46" s="155">
        <v>4.08</v>
      </c>
      <c r="P46" s="155">
        <v>4.18</v>
      </c>
      <c r="Q46" s="176">
        <v>4.25</v>
      </c>
      <c r="R46" s="165">
        <v>0</v>
      </c>
      <c r="S46" s="120">
        <v>0</v>
      </c>
      <c r="T46" s="120">
        <v>0</v>
      </c>
      <c r="U46" s="166">
        <v>0</v>
      </c>
      <c r="V46" s="1"/>
      <c r="W46" s="1"/>
      <c r="AA46" s="1"/>
      <c r="AB46" s="20"/>
      <c r="AC46" s="20"/>
      <c r="AE46"/>
      <c r="AF46"/>
      <c r="AG46" s="20"/>
      <c r="AH46" s="20"/>
      <c r="AI46" s="20"/>
    </row>
    <row r="47" spans="1:40" ht="15.75" thickBot="1" x14ac:dyDescent="0.3">
      <c r="A47" s="63" t="s">
        <v>131</v>
      </c>
      <c r="B47" s="160">
        <v>8.31</v>
      </c>
      <c r="C47" s="154">
        <v>8.68</v>
      </c>
      <c r="D47" s="154">
        <v>8.89</v>
      </c>
      <c r="E47" s="178">
        <v>9.0399999999999991</v>
      </c>
      <c r="F47" s="160">
        <v>15.45</v>
      </c>
      <c r="G47" s="154">
        <v>16.13</v>
      </c>
      <c r="H47" s="154">
        <v>16.52</v>
      </c>
      <c r="I47" s="175">
        <v>16.8</v>
      </c>
      <c r="J47" s="160">
        <v>16.05</v>
      </c>
      <c r="K47" s="154">
        <v>16.82</v>
      </c>
      <c r="L47" s="250">
        <v>15.68</v>
      </c>
      <c r="M47" s="175">
        <v>16.55</v>
      </c>
      <c r="N47" s="160">
        <v>3.91</v>
      </c>
      <c r="O47" s="154">
        <v>4.08</v>
      </c>
      <c r="P47" s="154">
        <v>4.18</v>
      </c>
      <c r="Q47" s="177">
        <v>4.25</v>
      </c>
      <c r="R47" s="165">
        <v>0</v>
      </c>
      <c r="S47" s="120">
        <v>0</v>
      </c>
      <c r="T47" s="120">
        <v>0</v>
      </c>
      <c r="U47" s="166">
        <v>0</v>
      </c>
      <c r="V47" s="1"/>
      <c r="W47" s="1"/>
      <c r="AA47" s="1"/>
      <c r="AB47" s="20"/>
      <c r="AC47" s="20"/>
      <c r="AE47"/>
      <c r="AF47"/>
      <c r="AG47" s="20"/>
      <c r="AH47" s="20"/>
      <c r="AI47" s="20"/>
    </row>
    <row r="48" spans="1:40" ht="15.75" thickBot="1" x14ac:dyDescent="0.3">
      <c r="A48" s="102" t="s">
        <v>70</v>
      </c>
      <c r="B48" s="161">
        <v>8.31</v>
      </c>
      <c r="C48" s="156">
        <v>8.68</v>
      </c>
      <c r="D48" s="156">
        <v>8.89</v>
      </c>
      <c r="E48" s="179">
        <v>9.0399999999999991</v>
      </c>
      <c r="F48" s="161">
        <v>15.45</v>
      </c>
      <c r="G48" s="156">
        <v>16.13</v>
      </c>
      <c r="H48" s="156">
        <v>16.52</v>
      </c>
      <c r="I48" s="179">
        <v>16.8</v>
      </c>
      <c r="J48" s="161">
        <v>16.05</v>
      </c>
      <c r="K48" s="156">
        <v>16.82</v>
      </c>
      <c r="L48" s="156">
        <v>15.68</v>
      </c>
      <c r="M48" s="179">
        <v>16.55</v>
      </c>
      <c r="N48" s="161">
        <v>3.91</v>
      </c>
      <c r="O48" s="156">
        <v>4.08</v>
      </c>
      <c r="P48" s="156">
        <v>4.18</v>
      </c>
      <c r="Q48" s="180">
        <v>4.25</v>
      </c>
      <c r="R48" s="165">
        <v>0</v>
      </c>
      <c r="S48" s="120">
        <v>0</v>
      </c>
      <c r="T48" s="120">
        <v>0</v>
      </c>
      <c r="U48" s="166">
        <v>0</v>
      </c>
      <c r="V48" s="1"/>
      <c r="W48" s="1"/>
      <c r="AA48" s="1"/>
      <c r="AB48" s="20"/>
      <c r="AC48" s="20"/>
      <c r="AE48"/>
      <c r="AF48"/>
      <c r="AG48" s="20"/>
      <c r="AH48" s="20"/>
      <c r="AI48" s="20"/>
    </row>
    <row r="49" spans="1:35" ht="15.75" thickBot="1" x14ac:dyDescent="0.3">
      <c r="A49" s="102" t="s">
        <v>73</v>
      </c>
      <c r="B49" s="161">
        <v>8.31</v>
      </c>
      <c r="C49" s="156">
        <v>8.68</v>
      </c>
      <c r="D49" s="156">
        <v>8.89</v>
      </c>
      <c r="E49" s="179">
        <v>9.0399999999999991</v>
      </c>
      <c r="F49" s="161">
        <v>15.45</v>
      </c>
      <c r="G49" s="156">
        <v>16.13</v>
      </c>
      <c r="H49" s="156">
        <v>16.52</v>
      </c>
      <c r="I49" s="179">
        <v>16.8</v>
      </c>
      <c r="J49" s="161">
        <v>16.05</v>
      </c>
      <c r="K49" s="156">
        <v>16.82</v>
      </c>
      <c r="L49" s="156">
        <v>15.68</v>
      </c>
      <c r="M49" s="179">
        <v>16.55</v>
      </c>
      <c r="N49" s="161">
        <v>3.91</v>
      </c>
      <c r="O49" s="156">
        <v>4.08</v>
      </c>
      <c r="P49" s="156">
        <v>4.18</v>
      </c>
      <c r="Q49" s="180">
        <v>4.25</v>
      </c>
      <c r="R49" s="165">
        <v>0</v>
      </c>
      <c r="S49" s="120">
        <v>0</v>
      </c>
      <c r="T49" s="120">
        <v>0</v>
      </c>
      <c r="U49" s="166">
        <v>0</v>
      </c>
      <c r="V49" s="1"/>
      <c r="W49" s="1"/>
      <c r="AA49" s="1"/>
      <c r="AB49" s="20"/>
      <c r="AC49" s="20"/>
      <c r="AE49"/>
      <c r="AF49"/>
      <c r="AG49" s="20"/>
      <c r="AH49" s="20"/>
      <c r="AI49" s="20"/>
    </row>
    <row r="50" spans="1:35" ht="15.75" thickBot="1" x14ac:dyDescent="0.3">
      <c r="A50" s="102" t="s">
        <v>77</v>
      </c>
      <c r="B50" s="161">
        <v>8.31</v>
      </c>
      <c r="C50" s="156">
        <v>8.68</v>
      </c>
      <c r="D50" s="156">
        <v>8.89</v>
      </c>
      <c r="E50" s="179">
        <v>9.0399999999999991</v>
      </c>
      <c r="F50" s="161">
        <v>15.45</v>
      </c>
      <c r="G50" s="156">
        <v>16.13</v>
      </c>
      <c r="H50" s="156">
        <v>16.52</v>
      </c>
      <c r="I50" s="179">
        <v>16.8</v>
      </c>
      <c r="J50" s="161">
        <v>16.05</v>
      </c>
      <c r="K50" s="156">
        <v>16.82</v>
      </c>
      <c r="L50" s="156">
        <v>15.68</v>
      </c>
      <c r="M50" s="179">
        <v>16.55</v>
      </c>
      <c r="N50" s="161">
        <v>3.91</v>
      </c>
      <c r="O50" s="156">
        <v>4.08</v>
      </c>
      <c r="P50" s="156">
        <v>4.18</v>
      </c>
      <c r="Q50" s="180">
        <v>4.25</v>
      </c>
      <c r="R50" s="165">
        <v>0</v>
      </c>
      <c r="S50" s="120">
        <v>0</v>
      </c>
      <c r="T50" s="120">
        <v>0</v>
      </c>
      <c r="U50" s="166">
        <v>0</v>
      </c>
      <c r="V50" s="1"/>
      <c r="W50" s="1"/>
      <c r="AA50" s="1"/>
      <c r="AB50" s="20"/>
      <c r="AC50" s="20"/>
      <c r="AE50"/>
      <c r="AF50"/>
      <c r="AG50" s="20"/>
      <c r="AH50" s="20"/>
      <c r="AI50" s="20"/>
    </row>
    <row r="51" spans="1:35" ht="15.75" thickBot="1" x14ac:dyDescent="0.3">
      <c r="A51" s="102" t="s">
        <v>62</v>
      </c>
      <c r="B51" s="161">
        <v>8.31</v>
      </c>
      <c r="C51" s="156">
        <v>8.68</v>
      </c>
      <c r="D51" s="156">
        <v>8.89</v>
      </c>
      <c r="E51" s="179">
        <v>9.0399999999999991</v>
      </c>
      <c r="F51" s="161">
        <v>15.45</v>
      </c>
      <c r="G51" s="156">
        <v>16.13</v>
      </c>
      <c r="H51" s="156">
        <v>16.52</v>
      </c>
      <c r="I51" s="179">
        <v>16.8</v>
      </c>
      <c r="J51" s="161">
        <v>16.05</v>
      </c>
      <c r="K51" s="156">
        <v>16.82</v>
      </c>
      <c r="L51" s="156">
        <v>15.68</v>
      </c>
      <c r="M51" s="179">
        <v>16.55</v>
      </c>
      <c r="N51" s="161">
        <v>3.91</v>
      </c>
      <c r="O51" s="156">
        <v>4.08</v>
      </c>
      <c r="P51" s="156">
        <v>4.18</v>
      </c>
      <c r="Q51" s="180">
        <v>4.25</v>
      </c>
      <c r="R51" s="165">
        <v>0</v>
      </c>
      <c r="S51" s="120">
        <v>0</v>
      </c>
      <c r="T51" s="120">
        <v>0</v>
      </c>
      <c r="U51" s="166">
        <v>0</v>
      </c>
      <c r="V51" s="1"/>
      <c r="W51" s="1"/>
      <c r="AA51" s="1"/>
      <c r="AB51" s="20"/>
      <c r="AC51" s="20"/>
      <c r="AE51"/>
      <c r="AF51"/>
      <c r="AG51" s="20"/>
      <c r="AH51" s="20"/>
      <c r="AI51" s="20"/>
    </row>
    <row r="52" spans="1:35" ht="15.75" thickBot="1" x14ac:dyDescent="0.3">
      <c r="A52" s="64" t="s">
        <v>132</v>
      </c>
      <c r="B52" s="159">
        <v>8.31</v>
      </c>
      <c r="C52" s="155">
        <v>8.68</v>
      </c>
      <c r="D52" s="155">
        <v>8.89</v>
      </c>
      <c r="E52" s="178">
        <v>9.0399999999999991</v>
      </c>
      <c r="F52" s="159">
        <v>15.45</v>
      </c>
      <c r="G52" s="155">
        <v>16.13</v>
      </c>
      <c r="H52" s="155">
        <v>16.52</v>
      </c>
      <c r="I52" s="175">
        <v>16.8</v>
      </c>
      <c r="J52" s="159">
        <v>14.29</v>
      </c>
      <c r="K52" s="155">
        <v>15.56</v>
      </c>
      <c r="L52" s="155">
        <v>15.24</v>
      </c>
      <c r="M52" s="178">
        <v>15.53</v>
      </c>
      <c r="N52" s="159">
        <v>3.91</v>
      </c>
      <c r="O52" s="155">
        <v>4.08</v>
      </c>
      <c r="P52" s="155">
        <v>4.18</v>
      </c>
      <c r="Q52" s="176">
        <v>4.25</v>
      </c>
      <c r="R52" s="165">
        <v>0</v>
      </c>
      <c r="S52" s="120">
        <v>0</v>
      </c>
      <c r="T52" s="120">
        <v>0</v>
      </c>
      <c r="U52" s="166">
        <v>0</v>
      </c>
      <c r="V52" s="1"/>
      <c r="W52" s="1"/>
      <c r="AA52" s="1"/>
      <c r="AB52" s="20"/>
      <c r="AC52" s="20"/>
      <c r="AE52"/>
      <c r="AF52"/>
      <c r="AG52" s="20"/>
      <c r="AH52" s="20"/>
      <c r="AI52" s="20"/>
    </row>
    <row r="53" spans="1:35" ht="15.75" thickBot="1" x14ac:dyDescent="0.3">
      <c r="A53" s="102" t="s">
        <v>59</v>
      </c>
      <c r="B53" s="161">
        <v>8.31</v>
      </c>
      <c r="C53" s="156">
        <v>8.68</v>
      </c>
      <c r="D53" s="156">
        <v>8.89</v>
      </c>
      <c r="E53" s="179">
        <v>9.0399999999999991</v>
      </c>
      <c r="F53" s="161">
        <v>15.45</v>
      </c>
      <c r="G53" s="156">
        <v>16.13</v>
      </c>
      <c r="H53" s="156">
        <v>16.52</v>
      </c>
      <c r="I53" s="179">
        <v>16.8</v>
      </c>
      <c r="J53" s="161">
        <v>14.29</v>
      </c>
      <c r="K53" s="156">
        <v>15.56</v>
      </c>
      <c r="L53" s="156">
        <v>15.24</v>
      </c>
      <c r="M53" s="179">
        <v>15.53</v>
      </c>
      <c r="N53" s="161">
        <v>3.91</v>
      </c>
      <c r="O53" s="156">
        <v>4.08</v>
      </c>
      <c r="P53" s="156">
        <v>4.18</v>
      </c>
      <c r="Q53" s="180">
        <v>4.25</v>
      </c>
      <c r="R53" s="165">
        <v>0</v>
      </c>
      <c r="S53" s="120">
        <v>0</v>
      </c>
      <c r="T53" s="120">
        <v>0</v>
      </c>
      <c r="U53" s="166">
        <v>0</v>
      </c>
      <c r="V53" s="1"/>
      <c r="W53" s="1"/>
      <c r="AA53" s="1"/>
      <c r="AB53" s="20"/>
      <c r="AC53" s="20"/>
      <c r="AE53"/>
      <c r="AF53"/>
      <c r="AG53" s="20"/>
      <c r="AH53" s="20"/>
      <c r="AI53" s="20"/>
    </row>
    <row r="54" spans="1:35" ht="15.75" thickBot="1" x14ac:dyDescent="0.3">
      <c r="A54" s="102" t="s">
        <v>60</v>
      </c>
      <c r="B54" s="161">
        <v>8.31</v>
      </c>
      <c r="C54" s="156">
        <v>8.68</v>
      </c>
      <c r="D54" s="156">
        <v>8.89</v>
      </c>
      <c r="E54" s="179">
        <v>9.0399999999999991</v>
      </c>
      <c r="F54" s="161">
        <v>15.45</v>
      </c>
      <c r="G54" s="156">
        <v>16.13</v>
      </c>
      <c r="H54" s="156">
        <v>16.52</v>
      </c>
      <c r="I54" s="179">
        <v>16.8</v>
      </c>
      <c r="J54" s="161">
        <v>14.29</v>
      </c>
      <c r="K54" s="156">
        <v>15.56</v>
      </c>
      <c r="L54" s="156">
        <v>15.24</v>
      </c>
      <c r="M54" s="179">
        <v>15.53</v>
      </c>
      <c r="N54" s="161">
        <v>3.91</v>
      </c>
      <c r="O54" s="156">
        <v>4.08</v>
      </c>
      <c r="P54" s="156">
        <v>4.18</v>
      </c>
      <c r="Q54" s="180">
        <v>4.25</v>
      </c>
      <c r="R54" s="165">
        <v>0</v>
      </c>
      <c r="S54" s="120">
        <v>0</v>
      </c>
      <c r="T54" s="120">
        <v>0</v>
      </c>
      <c r="U54" s="166">
        <v>0</v>
      </c>
      <c r="V54" s="1"/>
      <c r="W54" s="1"/>
      <c r="AA54" s="1"/>
      <c r="AB54" s="20"/>
      <c r="AC54" s="20"/>
      <c r="AE54"/>
      <c r="AF54"/>
      <c r="AG54" s="20"/>
      <c r="AH54" s="20"/>
      <c r="AI54" s="20"/>
    </row>
    <row r="55" spans="1:35" ht="15.75" thickBot="1" x14ac:dyDescent="0.3">
      <c r="A55" s="102" t="s">
        <v>71</v>
      </c>
      <c r="B55" s="161">
        <v>8.31</v>
      </c>
      <c r="C55" s="156">
        <v>8.68</v>
      </c>
      <c r="D55" s="156">
        <v>8.89</v>
      </c>
      <c r="E55" s="179">
        <v>9.0399999999999991</v>
      </c>
      <c r="F55" s="161">
        <v>15.45</v>
      </c>
      <c r="G55" s="156">
        <v>16.13</v>
      </c>
      <c r="H55" s="156">
        <v>16.52</v>
      </c>
      <c r="I55" s="179">
        <v>16.8</v>
      </c>
      <c r="J55" s="161">
        <v>14.29</v>
      </c>
      <c r="K55" s="156">
        <v>15.56</v>
      </c>
      <c r="L55" s="156">
        <v>15.24</v>
      </c>
      <c r="M55" s="179">
        <v>15.53</v>
      </c>
      <c r="N55" s="161">
        <v>3.91</v>
      </c>
      <c r="O55" s="156">
        <v>4.08</v>
      </c>
      <c r="P55" s="156">
        <v>4.18</v>
      </c>
      <c r="Q55" s="180">
        <v>4.25</v>
      </c>
      <c r="R55" s="165">
        <v>0</v>
      </c>
      <c r="S55" s="120">
        <v>0</v>
      </c>
      <c r="T55" s="120">
        <v>0</v>
      </c>
      <c r="U55" s="166">
        <v>0</v>
      </c>
      <c r="V55" s="1"/>
      <c r="W55" s="1"/>
      <c r="AA55" s="1"/>
      <c r="AB55" s="20"/>
      <c r="AC55" s="20"/>
      <c r="AE55"/>
      <c r="AF55"/>
      <c r="AG55" s="20"/>
      <c r="AH55" s="20"/>
      <c r="AI55" s="20"/>
    </row>
    <row r="56" spans="1:35" ht="15.75" thickBot="1" x14ac:dyDescent="0.3">
      <c r="A56" s="102" t="s">
        <v>69</v>
      </c>
      <c r="B56" s="161">
        <v>8.31</v>
      </c>
      <c r="C56" s="156">
        <v>8.68</v>
      </c>
      <c r="D56" s="156">
        <v>8.89</v>
      </c>
      <c r="E56" s="179">
        <v>9.0399999999999991</v>
      </c>
      <c r="F56" s="161">
        <v>15.45</v>
      </c>
      <c r="G56" s="156">
        <v>16.13</v>
      </c>
      <c r="H56" s="156">
        <v>16.52</v>
      </c>
      <c r="I56" s="179">
        <v>16.8</v>
      </c>
      <c r="J56" s="161">
        <v>14.29</v>
      </c>
      <c r="K56" s="156">
        <v>15.56</v>
      </c>
      <c r="L56" s="156">
        <v>15.24</v>
      </c>
      <c r="M56" s="179">
        <v>15.53</v>
      </c>
      <c r="N56" s="161">
        <v>3.91</v>
      </c>
      <c r="O56" s="156">
        <v>4.08</v>
      </c>
      <c r="P56" s="156">
        <v>4.18</v>
      </c>
      <c r="Q56" s="180">
        <v>4.25</v>
      </c>
      <c r="R56" s="165">
        <v>0</v>
      </c>
      <c r="S56" s="120">
        <v>0</v>
      </c>
      <c r="T56" s="120">
        <v>0</v>
      </c>
      <c r="U56" s="166">
        <v>0</v>
      </c>
      <c r="V56" s="1"/>
      <c r="W56" s="1"/>
      <c r="AA56" s="1"/>
      <c r="AB56" s="20"/>
      <c r="AC56" s="20"/>
      <c r="AE56"/>
      <c r="AF56"/>
      <c r="AG56" s="20"/>
      <c r="AH56" s="20"/>
      <c r="AI56" s="20"/>
    </row>
    <row r="57" spans="1:35" ht="15.75" thickBot="1" x14ac:dyDescent="0.3">
      <c r="A57" s="102" t="s">
        <v>64</v>
      </c>
      <c r="B57" s="161">
        <v>8.31</v>
      </c>
      <c r="C57" s="156">
        <v>8.68</v>
      </c>
      <c r="D57" s="156">
        <v>8.89</v>
      </c>
      <c r="E57" s="179">
        <v>9.0399999999999991</v>
      </c>
      <c r="F57" s="161">
        <v>15.45</v>
      </c>
      <c r="G57" s="156">
        <v>16.13</v>
      </c>
      <c r="H57" s="156">
        <v>16.52</v>
      </c>
      <c r="I57" s="179">
        <v>16.8</v>
      </c>
      <c r="J57" s="161">
        <v>14.29</v>
      </c>
      <c r="K57" s="156">
        <v>15.56</v>
      </c>
      <c r="L57" s="156">
        <v>15.24</v>
      </c>
      <c r="M57" s="179">
        <v>15.53</v>
      </c>
      <c r="N57" s="161">
        <v>3.91</v>
      </c>
      <c r="O57" s="156">
        <v>4.08</v>
      </c>
      <c r="P57" s="156">
        <v>4.18</v>
      </c>
      <c r="Q57" s="180">
        <v>4.25</v>
      </c>
      <c r="R57" s="165">
        <v>0</v>
      </c>
      <c r="S57" s="120">
        <v>0</v>
      </c>
      <c r="T57" s="120">
        <v>0</v>
      </c>
      <c r="U57" s="166">
        <v>0</v>
      </c>
      <c r="V57" s="1"/>
      <c r="W57" s="1"/>
      <c r="AA57" s="1"/>
      <c r="AB57" s="20"/>
      <c r="AC57" s="20"/>
      <c r="AE57"/>
      <c r="AF57"/>
      <c r="AG57" s="20"/>
      <c r="AH57" s="20"/>
      <c r="AI57" s="20"/>
    </row>
    <row r="58" spans="1:35" ht="15.75" thickBot="1" x14ac:dyDescent="0.3">
      <c r="A58" s="102" t="s">
        <v>75</v>
      </c>
      <c r="B58" s="161">
        <v>8.31</v>
      </c>
      <c r="C58" s="156">
        <v>8.68</v>
      </c>
      <c r="D58" s="156">
        <v>8.89</v>
      </c>
      <c r="E58" s="179">
        <v>9.0399999999999991</v>
      </c>
      <c r="F58" s="161">
        <v>15.45</v>
      </c>
      <c r="G58" s="156">
        <v>16.13</v>
      </c>
      <c r="H58" s="156">
        <v>16.52</v>
      </c>
      <c r="I58" s="179">
        <v>16.8</v>
      </c>
      <c r="J58" s="161">
        <v>14.29</v>
      </c>
      <c r="K58" s="156">
        <v>15.56</v>
      </c>
      <c r="L58" s="156">
        <v>15.24</v>
      </c>
      <c r="M58" s="179">
        <v>15.53</v>
      </c>
      <c r="N58" s="161">
        <v>3.91</v>
      </c>
      <c r="O58" s="156">
        <v>4.08</v>
      </c>
      <c r="P58" s="156">
        <v>4.18</v>
      </c>
      <c r="Q58" s="180">
        <v>4.25</v>
      </c>
      <c r="R58" s="165">
        <v>0</v>
      </c>
      <c r="S58" s="120">
        <v>0</v>
      </c>
      <c r="T58" s="120">
        <v>0</v>
      </c>
      <c r="U58" s="166">
        <v>0</v>
      </c>
      <c r="V58" s="1"/>
      <c r="W58" s="1"/>
      <c r="AA58" s="1"/>
      <c r="AB58" s="20"/>
      <c r="AC58" s="20"/>
      <c r="AE58"/>
      <c r="AF58"/>
      <c r="AG58" s="20"/>
      <c r="AH58" s="20"/>
      <c r="AI58" s="20"/>
    </row>
    <row r="59" spans="1:35" ht="15.75" thickBot="1" x14ac:dyDescent="0.3">
      <c r="A59" s="102" t="s">
        <v>86</v>
      </c>
      <c r="B59" s="161">
        <v>8.31</v>
      </c>
      <c r="C59" s="156">
        <v>8.68</v>
      </c>
      <c r="D59" s="156">
        <v>8.89</v>
      </c>
      <c r="E59" s="179">
        <v>9.0399999999999991</v>
      </c>
      <c r="F59" s="161">
        <v>15.45</v>
      </c>
      <c r="G59" s="156">
        <v>16.13</v>
      </c>
      <c r="H59" s="156">
        <v>16.52</v>
      </c>
      <c r="I59" s="179">
        <v>16.8</v>
      </c>
      <c r="J59" s="161">
        <v>14.29</v>
      </c>
      <c r="K59" s="156">
        <v>15.56</v>
      </c>
      <c r="L59" s="156">
        <v>15.24</v>
      </c>
      <c r="M59" s="179">
        <v>15.53</v>
      </c>
      <c r="N59" s="161">
        <v>3.91</v>
      </c>
      <c r="O59" s="156">
        <v>4.08</v>
      </c>
      <c r="P59" s="156">
        <v>4.18</v>
      </c>
      <c r="Q59" s="180">
        <v>4.25</v>
      </c>
      <c r="R59" s="165">
        <v>0</v>
      </c>
      <c r="S59" s="120">
        <v>0</v>
      </c>
      <c r="T59" s="120">
        <v>0</v>
      </c>
      <c r="U59" s="166">
        <v>0</v>
      </c>
      <c r="V59" s="1"/>
      <c r="W59" s="1"/>
      <c r="AA59" s="1"/>
      <c r="AB59" s="20"/>
      <c r="AC59" s="20"/>
      <c r="AE59"/>
      <c r="AF59"/>
      <c r="AG59" s="20"/>
      <c r="AH59" s="20"/>
      <c r="AI59" s="20"/>
    </row>
    <row r="60" spans="1:35" ht="15.75" customHeight="1" thickBot="1" x14ac:dyDescent="0.3">
      <c r="A60" s="63" t="s">
        <v>68</v>
      </c>
      <c r="B60" s="160">
        <v>32.36</v>
      </c>
      <c r="C60" s="154">
        <v>35.5</v>
      </c>
      <c r="D60" s="154">
        <v>46.57</v>
      </c>
      <c r="E60" s="175">
        <v>58.4</v>
      </c>
      <c r="F60" s="160">
        <v>88.91</v>
      </c>
      <c r="G60" s="154">
        <v>97.54</v>
      </c>
      <c r="H60" s="154">
        <v>127.96</v>
      </c>
      <c r="I60" s="175">
        <v>160.47</v>
      </c>
      <c r="J60" s="181"/>
      <c r="K60" s="182"/>
      <c r="L60" s="182"/>
      <c r="M60" s="183"/>
      <c r="N60" s="160">
        <v>3.91</v>
      </c>
      <c r="O60" s="154">
        <v>4.08</v>
      </c>
      <c r="P60" s="154">
        <v>4.18</v>
      </c>
      <c r="Q60" s="177">
        <v>4.25</v>
      </c>
      <c r="R60" s="165">
        <v>0</v>
      </c>
      <c r="S60" s="120">
        <v>0</v>
      </c>
      <c r="T60" s="120">
        <v>0</v>
      </c>
      <c r="U60" s="166">
        <v>0</v>
      </c>
      <c r="V60" s="1"/>
      <c r="W60" s="1"/>
      <c r="X60" s="20"/>
      <c r="Z60" s="1"/>
      <c r="AB60" s="20"/>
      <c r="AC60" s="20"/>
      <c r="AD60"/>
      <c r="AE60"/>
      <c r="AG60" s="20"/>
      <c r="AH60" s="20"/>
    </row>
    <row r="61" spans="1:35" ht="15.75" thickBot="1" x14ac:dyDescent="0.3">
      <c r="A61" s="65" t="s">
        <v>66</v>
      </c>
      <c r="B61" s="99">
        <v>8.31</v>
      </c>
      <c r="C61" s="97">
        <v>8.68</v>
      </c>
      <c r="D61" s="97">
        <v>8.89</v>
      </c>
      <c r="E61" s="184">
        <v>9.0399999999999991</v>
      </c>
      <c r="F61" s="99">
        <v>15.45</v>
      </c>
      <c r="G61" s="97">
        <v>16.13</v>
      </c>
      <c r="H61" s="97">
        <v>16.52</v>
      </c>
      <c r="I61" s="185">
        <v>16.8</v>
      </c>
      <c r="J61" s="99">
        <v>65.3</v>
      </c>
      <c r="K61" s="205">
        <v>70</v>
      </c>
      <c r="L61" s="205">
        <v>78.489999999999995</v>
      </c>
      <c r="M61" s="206">
        <v>79.83</v>
      </c>
      <c r="N61" s="99">
        <v>3.91</v>
      </c>
      <c r="O61" s="97">
        <v>4.08</v>
      </c>
      <c r="P61" s="97">
        <v>4.18</v>
      </c>
      <c r="Q61" s="98">
        <v>4.25</v>
      </c>
      <c r="R61" s="167">
        <v>0</v>
      </c>
      <c r="S61" s="168">
        <v>0</v>
      </c>
      <c r="T61" s="168">
        <v>0</v>
      </c>
      <c r="U61" s="169">
        <v>0</v>
      </c>
      <c r="V61" s="1"/>
      <c r="W61" s="1"/>
      <c r="AA61" s="1"/>
      <c r="AB61" s="20"/>
      <c r="AC61" s="20"/>
      <c r="AE61"/>
      <c r="AF61"/>
      <c r="AG61" s="20"/>
      <c r="AH61" s="20"/>
      <c r="AI61" s="20"/>
    </row>
    <row r="62" spans="1:35" ht="15.75" customHeight="1" x14ac:dyDescent="0.25">
      <c r="A62" s="230" t="s">
        <v>133</v>
      </c>
      <c r="B62" s="231"/>
      <c r="C62" s="231"/>
      <c r="D62" s="231"/>
      <c r="E62" s="231"/>
      <c r="F62" s="231"/>
      <c r="G62" s="231"/>
      <c r="H62" s="231"/>
      <c r="I62" s="231"/>
      <c r="J62" s="231"/>
      <c r="K62" s="231"/>
      <c r="L62" s="231"/>
      <c r="M62" s="232"/>
    </row>
    <row r="63" spans="1:35" ht="15.75" customHeight="1" x14ac:dyDescent="0.25">
      <c r="A63" s="233" t="s">
        <v>134</v>
      </c>
      <c r="B63" s="234"/>
      <c r="C63" s="234"/>
      <c r="D63" s="234"/>
      <c r="E63" s="234"/>
      <c r="F63" s="234"/>
      <c r="G63" s="234"/>
      <c r="H63" s="234"/>
      <c r="I63" s="234"/>
      <c r="J63" s="234"/>
      <c r="K63" s="234"/>
      <c r="L63" s="234"/>
      <c r="M63" s="235"/>
      <c r="N63" s="1">
        <v>14</v>
      </c>
      <c r="O63" s="1">
        <v>15</v>
      </c>
      <c r="P63" s="1">
        <v>16</v>
      </c>
      <c r="Q63" s="1">
        <v>17</v>
      </c>
    </row>
    <row r="64" spans="1:35" ht="15.75" customHeight="1" thickBot="1" x14ac:dyDescent="0.3">
      <c r="A64" s="236" t="s">
        <v>135</v>
      </c>
      <c r="B64" s="237"/>
      <c r="C64" s="237"/>
      <c r="D64" s="237"/>
      <c r="E64" s="237"/>
      <c r="F64" s="237"/>
      <c r="G64" s="237"/>
      <c r="H64" s="237"/>
      <c r="I64" s="237"/>
      <c r="J64" s="237"/>
      <c r="K64" s="237"/>
      <c r="L64" s="237"/>
      <c r="M64" s="238"/>
    </row>
    <row r="66" spans="1:9" ht="15.75" x14ac:dyDescent="0.25">
      <c r="A66" s="12" t="s">
        <v>136</v>
      </c>
      <c r="B66" s="13"/>
      <c r="C66" s="13"/>
      <c r="D66" s="13"/>
      <c r="E66" s="13"/>
      <c r="F66" s="13"/>
      <c r="I66" s="150"/>
    </row>
    <row r="67" spans="1:9" x14ac:dyDescent="0.25">
      <c r="B67" s="35"/>
    </row>
    <row r="68" spans="1:9" x14ac:dyDescent="0.25">
      <c r="A68" s="10" t="s">
        <v>137</v>
      </c>
      <c r="B68" s="35"/>
    </row>
    <row r="69" spans="1:9" x14ac:dyDescent="0.25">
      <c r="B69" s="35"/>
    </row>
    <row r="70" spans="1:9" x14ac:dyDescent="0.25">
      <c r="A70" s="86" t="s">
        <v>138</v>
      </c>
      <c r="B70" s="220" t="s">
        <v>139</v>
      </c>
      <c r="C70" s="220"/>
      <c r="D70" s="220"/>
      <c r="E70" s="220"/>
      <c r="F70" s="220"/>
    </row>
    <row r="71" spans="1:9" x14ac:dyDescent="0.25">
      <c r="A71" s="86" t="s">
        <v>140</v>
      </c>
      <c r="B71" s="220" t="s">
        <v>141</v>
      </c>
      <c r="C71" s="220"/>
      <c r="D71" s="220"/>
      <c r="E71" s="220"/>
      <c r="F71" s="220"/>
    </row>
    <row r="72" spans="1:9" x14ac:dyDescent="0.25">
      <c r="A72" s="86" t="s">
        <v>142</v>
      </c>
      <c r="B72" s="220" t="s">
        <v>143</v>
      </c>
      <c r="C72" s="220"/>
      <c r="D72" s="220"/>
      <c r="E72" s="220"/>
      <c r="F72" s="220"/>
    </row>
    <row r="73" spans="1:9" x14ac:dyDescent="0.25">
      <c r="B73" s="220"/>
      <c r="C73" s="220"/>
      <c r="D73" s="220"/>
      <c r="E73" s="220"/>
      <c r="F73" s="220"/>
    </row>
    <row r="74" spans="1:9" ht="15.75" x14ac:dyDescent="0.25">
      <c r="A74" s="12" t="s">
        <v>144</v>
      </c>
      <c r="B74" s="13"/>
      <c r="C74" s="13"/>
      <c r="D74" s="13"/>
      <c r="E74" s="13"/>
      <c r="F74" s="13"/>
    </row>
    <row r="76" spans="1:9" x14ac:dyDescent="0.25">
      <c r="A76" s="10" t="s">
        <v>145</v>
      </c>
      <c r="B76" s="87" t="str">
        <f>Calculator!C18</f>
        <v>Queenstown</v>
      </c>
    </row>
    <row r="77" spans="1:9" x14ac:dyDescent="0.25">
      <c r="A77" s="10" t="s">
        <v>20</v>
      </c>
      <c r="B77" s="88">
        <f>Calculator!C20</f>
        <v>1156</v>
      </c>
    </row>
    <row r="78" spans="1:9" ht="25.5" x14ac:dyDescent="0.25">
      <c r="B78" s="10"/>
      <c r="D78" s="72" t="str">
        <f>B42</f>
        <v>2021/22 Prices</v>
      </c>
      <c r="E78" s="72" t="str">
        <f t="shared" ref="E78:G78" si="0">C42</f>
        <v>2022/23 Prices</v>
      </c>
      <c r="F78" s="72" t="str">
        <f t="shared" si="0"/>
        <v>2023/24 Prices</v>
      </c>
      <c r="G78" s="72" t="str">
        <f t="shared" si="0"/>
        <v>2024/25 Prices</v>
      </c>
    </row>
    <row r="79" spans="1:9" x14ac:dyDescent="0.25">
      <c r="A79" s="10" t="s">
        <v>126</v>
      </c>
      <c r="B79" s="10"/>
      <c r="D79" s="90">
        <f>VLOOKUP($B$76,$A$43:$M$61,2,FALSE)</f>
        <v>8.31</v>
      </c>
      <c r="E79" s="90">
        <f>VLOOKUP($B$76,$A$43:$M$61,3,FALSE)</f>
        <v>8.68</v>
      </c>
      <c r="F79" s="90">
        <f>VLOOKUP($B$76,$A$43:$M$61,4,FALSE)</f>
        <v>8.89</v>
      </c>
      <c r="G79" s="90">
        <f>VLOOKUP($B$76,$A$43:$M$61,5,FALSE)</f>
        <v>9.0399999999999991</v>
      </c>
    </row>
    <row r="80" spans="1:9" x14ac:dyDescent="0.25">
      <c r="A80" s="10" t="s">
        <v>127</v>
      </c>
      <c r="B80" s="10"/>
      <c r="D80" s="90">
        <f>VLOOKUP($B$76,$A$43:$M$61,6,FALSE)</f>
        <v>15.45</v>
      </c>
      <c r="E80" s="90">
        <f>VLOOKUP($B$76,$A$43:$M$61,7,FALSE)</f>
        <v>16.13</v>
      </c>
      <c r="F80" s="90">
        <f>VLOOKUP($B$76,$A$43:$M$61,8,FALSE)</f>
        <v>16.52</v>
      </c>
      <c r="G80" s="90">
        <f>VLOOKUP($B$76,$A$43:$M$61,9,FALSE)</f>
        <v>16.8</v>
      </c>
    </row>
    <row r="81" spans="1:7" x14ac:dyDescent="0.25">
      <c r="A81" s="10" t="s">
        <v>146</v>
      </c>
      <c r="B81" s="10"/>
      <c r="D81" s="90">
        <f>IF($B$77&gt;30000,VLOOKUP($B$76,$A$43:$M$61,10,FALSE)+VLOOKUP($B$76,$A$43:$U$61,18,FALSE),VLOOKUP($B$76,$A$43:$M$61,10,FALSE))</f>
        <v>9.0399999999999991</v>
      </c>
      <c r="E81" s="90">
        <f>IF($B$77&gt;30000,VLOOKUP($B$76,$A$43:$M$61,11,FALSE)+VLOOKUP($B$76,$A$43:$U$61,19,FALSE),VLOOKUP($B$76,$A$43:$M$61,11,FALSE))</f>
        <v>9.85</v>
      </c>
      <c r="F81" s="251">
        <f>IF($B$77&gt;30000,VLOOKUP($B$76,$A$43:$M$61,12,FALSE)+VLOOKUP($B$76,$A$43:$U$61,20,FALSE),VLOOKUP($B$76,$A$43:$M$61,12,FALSE))</f>
        <v>9.93</v>
      </c>
      <c r="G81" s="90">
        <f>IF($B$77&gt;30000,VLOOKUP($B$76,$A$43:$M$61,13,FALSE)+VLOOKUP($B$76,$A$43:$U$61,21,FALSE),VLOOKUP($B$76,$A$43:$M$61,13,FALSE))</f>
        <v>9.81</v>
      </c>
    </row>
    <row r="82" spans="1:7" x14ac:dyDescent="0.25">
      <c r="B82" s="10"/>
    </row>
    <row r="85" spans="1:7" ht="15.75" x14ac:dyDescent="0.25">
      <c r="A85" s="12" t="s">
        <v>147</v>
      </c>
      <c r="B85" s="13"/>
      <c r="C85" s="13"/>
      <c r="D85" s="13"/>
      <c r="E85" s="13"/>
      <c r="F85" s="13"/>
    </row>
    <row r="87" spans="1:7" ht="25.5" x14ac:dyDescent="0.25">
      <c r="C87" s="72" t="s">
        <v>148</v>
      </c>
      <c r="D87" s="72" t="str">
        <f>D78</f>
        <v>2021/22 Prices</v>
      </c>
      <c r="E87" s="72" t="str">
        <f t="shared" ref="E87:G87" si="1">E78</f>
        <v>2022/23 Prices</v>
      </c>
      <c r="F87" s="72" t="str">
        <f t="shared" si="1"/>
        <v>2023/24 Prices</v>
      </c>
      <c r="G87" s="72" t="str">
        <f t="shared" si="1"/>
        <v>2024/25 Prices</v>
      </c>
    </row>
    <row r="88" spans="1:7" x14ac:dyDescent="0.25">
      <c r="A88" s="86" t="s">
        <v>138</v>
      </c>
      <c r="B88" s="22" t="s">
        <v>149</v>
      </c>
      <c r="C88" s="221" t="s">
        <v>150</v>
      </c>
      <c r="D88" s="91">
        <f>($B$77/5000)*D80</f>
        <v>3.5720399999999999</v>
      </c>
      <c r="E88" s="91">
        <f>($B$77/5000)*E80</f>
        <v>3.7292559999999995</v>
      </c>
      <c r="F88" s="91">
        <f>($B$77/5000)*F80</f>
        <v>3.8194239999999997</v>
      </c>
      <c r="G88" s="91">
        <f>($B$77/5000)*G80</f>
        <v>3.8841600000000001</v>
      </c>
    </row>
    <row r="89" spans="1:7" x14ac:dyDescent="0.25">
      <c r="A89" s="86" t="s">
        <v>140</v>
      </c>
      <c r="B89" s="22" t="s">
        <v>151</v>
      </c>
      <c r="C89" s="222"/>
      <c r="D89" s="125">
        <f>((($B$77/1000)-5)*D81)+D80</f>
        <v>-19.299760000000003</v>
      </c>
      <c r="E89" s="91">
        <f t="shared" ref="E89:G89" si="2">((($B$77/1000)-5)*E81)+E80</f>
        <v>-21.7334</v>
      </c>
      <c r="F89" s="91">
        <f>((($B$77/1000)-5)*F81)+F80</f>
        <v>-21.650920000000003</v>
      </c>
      <c r="G89" s="91">
        <f t="shared" si="2"/>
        <v>-20.909640000000007</v>
      </c>
    </row>
    <row r="90" spans="1:7" x14ac:dyDescent="0.25">
      <c r="A90" s="86" t="s">
        <v>142</v>
      </c>
      <c r="B90" s="22" t="s">
        <v>152</v>
      </c>
      <c r="C90" s="223"/>
      <c r="D90" s="91" t="e">
        <f>(D81*(5*(SQRT(($B$77/1000)-5))))+D80</f>
        <v>#NUM!</v>
      </c>
      <c r="E90" s="91" t="e">
        <f>(E81*(5*(SQRT(($B$77/1000)-5))))+E80</f>
        <v>#NUM!</v>
      </c>
      <c r="F90" s="91" t="e">
        <f t="shared" ref="F90" si="3">(F81*(5*(SQRT(($B$77/1000)-5))))+F80</f>
        <v>#NUM!</v>
      </c>
      <c r="G90" s="91" t="e">
        <f>(G81*(5*(SQRT(($B$77/1000)-5))))+G80</f>
        <v>#NUM!</v>
      </c>
    </row>
    <row r="92" spans="1:7" x14ac:dyDescent="0.25">
      <c r="A92" s="10" t="s">
        <v>153</v>
      </c>
      <c r="B92" s="22" t="str">
        <f>IF(B77&gt;30000,"C",IF(B77&lt;5000,"A","B"))</f>
        <v>A</v>
      </c>
      <c r="C92" s="89">
        <f>ROUND((HLOOKUP(B76,$C$33:$S$34,2,FALSE)),2)</f>
        <v>7.65</v>
      </c>
      <c r="D92" s="89">
        <f>ROUND((VLOOKUP($B$92,$B$88:$G$90,3,FALSE)),2)</f>
        <v>3.57</v>
      </c>
      <c r="E92" s="89">
        <f>ROUND((VLOOKUP($B$92,$B$88:$G$90,4,FALSE)),2)</f>
        <v>3.73</v>
      </c>
      <c r="F92" s="89">
        <f>ROUND((VLOOKUP($B$92,$B$88:$G$90,5,FALSE)),2)</f>
        <v>3.82</v>
      </c>
      <c r="G92" s="89">
        <f>ROUND((VLOOKUP($B$92,$B$88:$G$90,6,FALSE)),2)</f>
        <v>3.88</v>
      </c>
    </row>
    <row r="94" spans="1:7" x14ac:dyDescent="0.25">
      <c r="A94" s="92" t="s">
        <v>154</v>
      </c>
      <c r="B94" s="93"/>
      <c r="C94" s="94">
        <f>C92</f>
        <v>7.65</v>
      </c>
      <c r="D94" s="94">
        <f>MAX(D79,D92)</f>
        <v>8.31</v>
      </c>
      <c r="E94" s="94">
        <f t="shared" ref="E94" si="4">MAX(E79,E92)</f>
        <v>8.68</v>
      </c>
      <c r="F94" s="94">
        <f>MAX(F79,F92)</f>
        <v>8.89</v>
      </c>
      <c r="G94" s="94">
        <f>MAX(G79,G92)</f>
        <v>9.0399999999999991</v>
      </c>
    </row>
  </sheetData>
  <mergeCells count="15">
    <mergeCell ref="R41:U41"/>
    <mergeCell ref="N41:Q41"/>
    <mergeCell ref="A62:M62"/>
    <mergeCell ref="A63:M63"/>
    <mergeCell ref="A64:M64"/>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tint="-0.249977111117893"/>
    <pageSetUpPr fitToPage="1"/>
  </sheetPr>
  <dimension ref="A1:AU902"/>
  <sheetViews>
    <sheetView topLeftCell="A19" zoomScale="70" zoomScaleNormal="70" workbookViewId="0">
      <selection activeCell="B49" sqref="B49:K49"/>
    </sheetView>
  </sheetViews>
  <sheetFormatPr defaultColWidth="9.140625" defaultRowHeight="12.75" x14ac:dyDescent="0.2"/>
  <cols>
    <col min="1" max="1" width="29.7109375" style="10" bestFit="1" customWidth="1"/>
    <col min="2" max="9" width="11" style="1" customWidth="1"/>
    <col min="10" max="10" width="13" style="1" customWidth="1"/>
    <col min="11" max="11" width="11" style="1" customWidth="1"/>
    <col min="12" max="12" width="12.28515625" style="1" bestFit="1" customWidth="1"/>
    <col min="13" max="14" width="12.85546875" style="1" customWidth="1"/>
    <col min="15" max="15" width="10.140625" style="1" bestFit="1" customWidth="1"/>
    <col min="16" max="16" width="9.85546875" style="1" customWidth="1"/>
    <col min="17" max="17" width="12" style="1" customWidth="1"/>
    <col min="18" max="18" width="9.140625" style="1" bestFit="1" customWidth="1"/>
    <col min="19" max="19" width="10.28515625" style="1" bestFit="1" customWidth="1"/>
    <col min="20" max="20" width="6.85546875" style="20" bestFit="1" customWidth="1"/>
    <col min="21" max="21" width="7.42578125" style="20" bestFit="1" customWidth="1"/>
    <col min="22" max="22" width="9.5703125" style="20" bestFit="1" customWidth="1"/>
    <col min="23" max="23" width="10.28515625" style="20" bestFit="1" customWidth="1"/>
    <col min="24" max="24" width="9.7109375" style="20" bestFit="1" customWidth="1"/>
    <col min="25" max="25" width="8.5703125" style="20" bestFit="1" customWidth="1"/>
    <col min="26" max="26" width="9.28515625" style="20" bestFit="1" customWidth="1"/>
    <col min="27" max="27" width="12.42578125" style="20" bestFit="1" customWidth="1"/>
    <col min="28" max="28" width="10.140625" style="20" customWidth="1"/>
    <col min="29" max="29" width="11.5703125" style="20" customWidth="1"/>
    <col min="30" max="30" width="12.5703125" style="20" customWidth="1"/>
    <col min="31" max="31" width="9.28515625" style="20" bestFit="1" customWidth="1"/>
    <col min="32" max="32" width="13.42578125" style="20"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2" t="s">
        <v>91</v>
      </c>
      <c r="B2" s="13"/>
      <c r="C2" s="13"/>
      <c r="D2" s="13"/>
      <c r="E2" s="13"/>
      <c r="F2" s="13"/>
      <c r="S2" s="19"/>
    </row>
    <row r="3" spans="1:32" x14ac:dyDescent="0.2">
      <c r="A3" s="1"/>
      <c r="S3" s="19"/>
    </row>
    <row r="4" spans="1:32" x14ac:dyDescent="0.2">
      <c r="A4" s="1"/>
      <c r="S4" s="19"/>
    </row>
    <row r="5" spans="1:32" ht="63.75" x14ac:dyDescent="0.2">
      <c r="A5" s="2" t="s">
        <v>155</v>
      </c>
      <c r="B5" s="3" t="s">
        <v>93</v>
      </c>
      <c r="C5" s="4" t="s">
        <v>94</v>
      </c>
      <c r="D5" s="4" t="s">
        <v>95</v>
      </c>
      <c r="E5" s="4" t="s">
        <v>96</v>
      </c>
      <c r="F5" s="4" t="s">
        <v>97</v>
      </c>
      <c r="G5" s="4" t="s">
        <v>98</v>
      </c>
      <c r="H5" s="4" t="s">
        <v>99</v>
      </c>
      <c r="J5" s="5" t="s">
        <v>156</v>
      </c>
      <c r="K5" s="4" t="s">
        <v>96</v>
      </c>
      <c r="L5" s="4" t="s">
        <v>97</v>
      </c>
      <c r="M5" s="4" t="s">
        <v>98</v>
      </c>
      <c r="N5" s="4"/>
      <c r="O5" s="4" t="s">
        <v>99</v>
      </c>
      <c r="S5" s="6"/>
    </row>
    <row r="6" spans="1:32" x14ac:dyDescent="0.2">
      <c r="A6" s="7" t="s">
        <v>157</v>
      </c>
      <c r="B6" s="14"/>
      <c r="C6" s="14">
        <v>4.5999999999999996</v>
      </c>
      <c r="D6" s="14">
        <v>4.5999999999999996</v>
      </c>
      <c r="E6" s="14">
        <v>33.299999999999997</v>
      </c>
      <c r="F6" s="14">
        <v>31.92</v>
      </c>
      <c r="G6" s="14">
        <v>31.92</v>
      </c>
      <c r="H6" s="14">
        <v>31.92</v>
      </c>
      <c r="J6" s="7" t="s">
        <v>157</v>
      </c>
      <c r="K6" s="15">
        <v>8.5500000000000003E-3</v>
      </c>
      <c r="L6" s="15">
        <v>8.2000000000000007E-3</v>
      </c>
      <c r="M6" s="15">
        <v>8.2000000000000007E-3</v>
      </c>
      <c r="N6" s="15"/>
      <c r="O6" s="15">
        <v>1.37113</v>
      </c>
      <c r="S6" s="6"/>
    </row>
    <row r="7" spans="1:32" x14ac:dyDescent="0.2">
      <c r="A7" s="7" t="s">
        <v>158</v>
      </c>
      <c r="B7" s="14"/>
      <c r="C7" s="14">
        <v>5.9</v>
      </c>
      <c r="D7" s="14">
        <v>5.9</v>
      </c>
      <c r="E7" s="14">
        <v>41.05</v>
      </c>
      <c r="F7" s="14">
        <v>38.74</v>
      </c>
      <c r="G7" s="14">
        <v>38.74</v>
      </c>
      <c r="H7" s="14">
        <v>38.74</v>
      </c>
      <c r="J7" s="7" t="s">
        <v>158</v>
      </c>
      <c r="K7" s="15">
        <v>8.6599999999999993E-3</v>
      </c>
      <c r="L7" s="15">
        <v>8.1799999999999998E-3</v>
      </c>
      <c r="M7" s="15">
        <v>8.1799999999999998E-3</v>
      </c>
      <c r="N7" s="15"/>
      <c r="O7" s="15">
        <v>1.3664000000000001</v>
      </c>
      <c r="S7" s="6"/>
    </row>
    <row r="8" spans="1:32" x14ac:dyDescent="0.2">
      <c r="A8" s="7" t="s">
        <v>115</v>
      </c>
      <c r="B8" s="14"/>
      <c r="C8" s="14">
        <v>5.9</v>
      </c>
      <c r="D8" s="14">
        <v>5.9</v>
      </c>
      <c r="E8" s="14">
        <v>41.05</v>
      </c>
      <c r="F8" s="14">
        <v>38.74</v>
      </c>
      <c r="G8" s="14">
        <v>38.74</v>
      </c>
      <c r="H8" s="14">
        <v>40.68</v>
      </c>
      <c r="J8" s="7" t="s">
        <v>115</v>
      </c>
      <c r="K8" s="15">
        <v>8.6599999999999993E-3</v>
      </c>
      <c r="L8" s="15">
        <v>8.1799999999999998E-3</v>
      </c>
      <c r="M8" s="15">
        <v>8.1799999999999998E-3</v>
      </c>
      <c r="N8" s="15"/>
      <c r="O8" s="15">
        <v>1.43483</v>
      </c>
      <c r="S8" s="6"/>
    </row>
    <row r="9" spans="1:32" x14ac:dyDescent="0.2">
      <c r="A9" s="7" t="s">
        <v>109</v>
      </c>
      <c r="B9" s="14"/>
      <c r="C9" s="14">
        <v>6.15</v>
      </c>
      <c r="D9" s="14">
        <v>6.15</v>
      </c>
      <c r="E9" s="14">
        <v>44.75</v>
      </c>
      <c r="F9" s="14">
        <v>42.9</v>
      </c>
      <c r="G9" s="14">
        <v>42.9</v>
      </c>
      <c r="H9" s="14">
        <v>42.9</v>
      </c>
      <c r="J9" s="7" t="s">
        <v>109</v>
      </c>
      <c r="K9" s="15">
        <v>1.15E-2</v>
      </c>
      <c r="L9" s="15">
        <v>1.102E-2</v>
      </c>
      <c r="M9" s="15">
        <v>1.102E-2</v>
      </c>
      <c r="N9" s="15"/>
      <c r="O9" s="15">
        <v>1.8427899999999999</v>
      </c>
      <c r="S9" s="6"/>
    </row>
    <row r="10" spans="1:32" x14ac:dyDescent="0.2">
      <c r="A10" s="1"/>
      <c r="S10" s="6"/>
    </row>
    <row r="11" spans="1:32" x14ac:dyDescent="0.2">
      <c r="A11" s="1"/>
      <c r="S11" s="6"/>
    </row>
    <row r="12" spans="1:32" s="9" customFormat="1" x14ac:dyDescent="0.2">
      <c r="T12" s="20"/>
      <c r="U12" s="20"/>
      <c r="V12" s="20"/>
      <c r="W12" s="20"/>
      <c r="X12" s="20"/>
      <c r="Y12" s="20"/>
      <c r="Z12" s="20"/>
      <c r="AA12" s="20"/>
      <c r="AB12" s="20"/>
      <c r="AC12" s="20"/>
      <c r="AD12" s="20"/>
      <c r="AE12" s="20"/>
      <c r="AF12" s="20"/>
    </row>
    <row r="13" spans="1:32" s="9" customFormat="1" x14ac:dyDescent="0.2">
      <c r="A13" s="16"/>
      <c r="T13" s="20"/>
      <c r="U13" s="20"/>
      <c r="V13" s="20"/>
      <c r="W13" s="20"/>
      <c r="X13" s="20"/>
      <c r="Y13" s="20"/>
      <c r="Z13" s="20"/>
      <c r="AA13" s="20"/>
      <c r="AB13" s="20"/>
      <c r="AC13" s="20"/>
      <c r="AD13" s="20"/>
      <c r="AE13" s="20"/>
      <c r="AF13" s="20"/>
    </row>
    <row r="14" spans="1:32" x14ac:dyDescent="0.2">
      <c r="A14" s="1"/>
      <c r="M14" s="9"/>
      <c r="N14" s="9"/>
      <c r="O14" s="9"/>
      <c r="P14" s="9"/>
      <c r="Q14" s="9"/>
      <c r="R14" s="9"/>
      <c r="S14" s="9"/>
    </row>
    <row r="15" spans="1:32" x14ac:dyDescent="0.2">
      <c r="M15" s="9"/>
      <c r="N15" s="9"/>
      <c r="O15" s="9"/>
      <c r="P15" s="9"/>
      <c r="Q15" s="9"/>
      <c r="R15" s="9"/>
      <c r="S15" s="9"/>
    </row>
    <row r="16" spans="1:32" x14ac:dyDescent="0.2">
      <c r="A16" s="1"/>
      <c r="M16" s="9"/>
      <c r="N16" s="9"/>
      <c r="O16" s="9"/>
      <c r="P16" s="9"/>
      <c r="Q16" s="9"/>
      <c r="R16" s="9"/>
      <c r="S16" s="9"/>
      <c r="AA16" s="1"/>
      <c r="AB16" s="1"/>
      <c r="AC16" s="1"/>
      <c r="AD16" s="1"/>
      <c r="AE16" s="1"/>
      <c r="AF16" s="1"/>
    </row>
    <row r="17" spans="1:47" ht="15.75" x14ac:dyDescent="0.25">
      <c r="A17" s="12" t="s">
        <v>118</v>
      </c>
      <c r="B17" s="13"/>
      <c r="C17" s="13"/>
      <c r="D17" s="13"/>
      <c r="E17" s="13"/>
      <c r="F17" s="13"/>
      <c r="M17" s="9"/>
      <c r="N17" s="9"/>
      <c r="O17" s="9"/>
      <c r="P17" s="9"/>
      <c r="Q17" s="9"/>
      <c r="R17" s="9"/>
      <c r="S17" s="9"/>
      <c r="AA17" s="1"/>
      <c r="AB17" s="1"/>
      <c r="AC17" s="1"/>
      <c r="AD17" s="1"/>
      <c r="AE17" s="1"/>
      <c r="AF17" s="1"/>
    </row>
    <row r="18" spans="1:47" x14ac:dyDescent="0.2">
      <c r="C18" s="225" t="s">
        <v>119</v>
      </c>
      <c r="D18" s="225"/>
      <c r="E18" s="225"/>
      <c r="F18" s="225"/>
      <c r="M18" s="9"/>
      <c r="N18" s="9"/>
      <c r="O18" s="9"/>
      <c r="P18" s="9"/>
      <c r="Q18" s="9"/>
      <c r="R18" s="9"/>
      <c r="S18" s="9"/>
      <c r="AA18" s="1"/>
      <c r="AB18" s="1"/>
      <c r="AC18" s="1"/>
      <c r="AD18" s="1"/>
      <c r="AE18" s="1"/>
      <c r="AF18" s="1"/>
    </row>
    <row r="19" spans="1:47" ht="34.5" customHeight="1" x14ac:dyDescent="0.2">
      <c r="A19" s="1"/>
      <c r="B19" s="11">
        <v>1</v>
      </c>
      <c r="C19" s="20">
        <v>2</v>
      </c>
      <c r="D19" s="20">
        <v>3</v>
      </c>
      <c r="E19" s="20">
        <v>4</v>
      </c>
      <c r="F19" s="20">
        <v>5</v>
      </c>
      <c r="L19" s="241" t="s">
        <v>119</v>
      </c>
      <c r="M19" s="241"/>
      <c r="N19" s="241"/>
      <c r="O19" s="241"/>
      <c r="P19" s="241"/>
      <c r="Q19" s="241"/>
      <c r="R19" s="241"/>
      <c r="S19" s="241"/>
      <c r="T19" s="241"/>
      <c r="U19" s="241"/>
      <c r="V19" s="241"/>
      <c r="W19" s="241"/>
      <c r="X19" s="241"/>
      <c r="Y19" s="241"/>
      <c r="Z19" s="241"/>
      <c r="AA19" s="241"/>
      <c r="AB19" s="241"/>
      <c r="AC19" s="241"/>
      <c r="AD19" s="1"/>
      <c r="AE19" s="241" t="s">
        <v>120</v>
      </c>
      <c r="AF19" s="241"/>
      <c r="AG19" s="241"/>
      <c r="AH19" s="241"/>
      <c r="AI19" s="241"/>
      <c r="AJ19" s="241"/>
      <c r="AK19" s="241"/>
      <c r="AL19" s="241"/>
      <c r="AM19" s="241"/>
      <c r="AN19" s="241"/>
      <c r="AO19" s="241"/>
      <c r="AP19" s="241"/>
      <c r="AQ19" s="241"/>
      <c r="AR19" s="241"/>
      <c r="AS19" s="241"/>
      <c r="AT19" s="241"/>
      <c r="AU19" s="241"/>
    </row>
    <row r="20" spans="1:47" s="6" customFormat="1" ht="63.75" customHeight="1" x14ac:dyDescent="0.25">
      <c r="B20" s="17"/>
      <c r="C20" s="17" t="s">
        <v>157</v>
      </c>
      <c r="D20" s="17" t="s">
        <v>158</v>
      </c>
      <c r="E20" s="17" t="s">
        <v>115</v>
      </c>
      <c r="F20" s="17" t="s">
        <v>109</v>
      </c>
      <c r="G20" s="1"/>
      <c r="H20" s="1"/>
      <c r="I20" s="1"/>
      <c r="J20" s="1"/>
      <c r="K20" s="1"/>
      <c r="L20" s="17" t="s">
        <v>15</v>
      </c>
      <c r="M20" t="s">
        <v>57</v>
      </c>
      <c r="N20"/>
      <c r="O20" s="17" t="s">
        <v>82</v>
      </c>
      <c r="P20" s="17" t="s">
        <v>59</v>
      </c>
      <c r="Q20" s="17" t="s">
        <v>60</v>
      </c>
      <c r="R20" s="17" t="s">
        <v>62</v>
      </c>
      <c r="S20" s="17" t="s">
        <v>64</v>
      </c>
      <c r="T20" s="17" t="s">
        <v>69</v>
      </c>
      <c r="U20" s="17" t="s">
        <v>70</v>
      </c>
      <c r="V20" s="17" t="s">
        <v>71</v>
      </c>
      <c r="W20" s="17" t="s">
        <v>73</v>
      </c>
      <c r="X20" s="17" t="s">
        <v>74</v>
      </c>
      <c r="Y20" s="17" t="s">
        <v>75</v>
      </c>
      <c r="Z20" s="17" t="s">
        <v>77</v>
      </c>
      <c r="AA20" s="17" t="s">
        <v>86</v>
      </c>
      <c r="AB20" s="17" t="s">
        <v>68</v>
      </c>
      <c r="AC20" s="17" t="s">
        <v>66</v>
      </c>
      <c r="AE20" s="17" t="s">
        <v>15</v>
      </c>
      <c r="AF20" t="s">
        <v>57</v>
      </c>
      <c r="AG20" s="17" t="s">
        <v>82</v>
      </c>
      <c r="AH20" s="17" t="s">
        <v>59</v>
      </c>
      <c r="AI20" s="17" t="s">
        <v>60</v>
      </c>
      <c r="AJ20" s="17" t="s">
        <v>62</v>
      </c>
      <c r="AK20" s="17" t="s">
        <v>64</v>
      </c>
      <c r="AL20" s="17" t="s">
        <v>69</v>
      </c>
      <c r="AM20" s="17" t="s">
        <v>70</v>
      </c>
      <c r="AN20" s="17" t="s">
        <v>71</v>
      </c>
      <c r="AO20" s="17" t="s">
        <v>73</v>
      </c>
      <c r="AP20" s="17" t="s">
        <v>74</v>
      </c>
      <c r="AQ20" s="17" t="s">
        <v>75</v>
      </c>
      <c r="AR20" s="17" t="s">
        <v>77</v>
      </c>
      <c r="AS20" s="17" t="s">
        <v>86</v>
      </c>
      <c r="AT20" s="17" t="s">
        <v>68</v>
      </c>
      <c r="AU20" s="17" t="s">
        <v>66</v>
      </c>
    </row>
    <row r="21" spans="1:47" ht="14.25" customHeight="1" x14ac:dyDescent="0.2">
      <c r="A21" s="32">
        <f>Calculator!$C$20</f>
        <v>1156</v>
      </c>
      <c r="B21" s="1">
        <f>A21</f>
        <v>1156</v>
      </c>
      <c r="C21" s="8">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4.5999999999999996</v>
      </c>
      <c r="D21" s="8">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5.9</v>
      </c>
      <c r="E21" s="8">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5.9</v>
      </c>
      <c r="F21" s="8">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6.15</v>
      </c>
      <c r="L21" s="30">
        <f>E21</f>
        <v>5.9</v>
      </c>
      <c r="M21" s="30">
        <f>D21</f>
        <v>5.9</v>
      </c>
      <c r="N21" s="30"/>
      <c r="O21" s="30">
        <f>D21</f>
        <v>5.9</v>
      </c>
      <c r="P21" s="30">
        <f>$C21</f>
        <v>4.5999999999999996</v>
      </c>
      <c r="Q21" s="30">
        <f t="shared" ref="Q21:AA21" si="0">$C21</f>
        <v>4.5999999999999996</v>
      </c>
      <c r="R21" s="30">
        <f t="shared" si="0"/>
        <v>4.5999999999999996</v>
      </c>
      <c r="S21" s="30">
        <f t="shared" si="0"/>
        <v>4.5999999999999996</v>
      </c>
      <c r="T21" s="30">
        <f t="shared" si="0"/>
        <v>4.5999999999999996</v>
      </c>
      <c r="U21" s="30">
        <f t="shared" si="0"/>
        <v>4.5999999999999996</v>
      </c>
      <c r="V21" s="30">
        <f t="shared" si="0"/>
        <v>4.5999999999999996</v>
      </c>
      <c r="W21" s="30">
        <f t="shared" si="0"/>
        <v>4.5999999999999996</v>
      </c>
      <c r="X21" s="30">
        <f>F21</f>
        <v>6.15</v>
      </c>
      <c r="Y21" s="30">
        <f t="shared" si="0"/>
        <v>4.5999999999999996</v>
      </c>
      <c r="Z21" s="30">
        <f t="shared" si="0"/>
        <v>4.5999999999999996</v>
      </c>
      <c r="AA21" s="30">
        <f t="shared" si="0"/>
        <v>4.5999999999999996</v>
      </c>
      <c r="AB21" s="1">
        <v>0</v>
      </c>
      <c r="AC21" s="1"/>
      <c r="AD21" s="1"/>
      <c r="AE21" s="30">
        <f>I21</f>
        <v>0</v>
      </c>
      <c r="AF21" s="30">
        <f>H21</f>
        <v>0</v>
      </c>
      <c r="AG21" s="30">
        <f>H21</f>
        <v>0</v>
      </c>
      <c r="AH21" s="30">
        <f>$G21</f>
        <v>0</v>
      </c>
      <c r="AI21" s="30">
        <f t="shared" ref="AI21:AS21" si="1">$G21</f>
        <v>0</v>
      </c>
      <c r="AJ21" s="30">
        <f t="shared" si="1"/>
        <v>0</v>
      </c>
      <c r="AK21" s="30">
        <f t="shared" si="1"/>
        <v>0</v>
      </c>
      <c r="AL21" s="30">
        <f t="shared" si="1"/>
        <v>0</v>
      </c>
      <c r="AM21" s="30">
        <f t="shared" si="1"/>
        <v>0</v>
      </c>
      <c r="AN21" s="30">
        <f t="shared" si="1"/>
        <v>0</v>
      </c>
      <c r="AO21" s="30">
        <f t="shared" si="1"/>
        <v>0</v>
      </c>
      <c r="AP21" s="30">
        <f>J21</f>
        <v>0</v>
      </c>
      <c r="AQ21" s="30">
        <f t="shared" si="1"/>
        <v>0</v>
      </c>
      <c r="AR21" s="30">
        <f t="shared" si="1"/>
        <v>0</v>
      </c>
      <c r="AS21" s="30">
        <f t="shared" si="1"/>
        <v>0</v>
      </c>
      <c r="AT21" s="1">
        <v>0</v>
      </c>
    </row>
    <row r="22" spans="1:47" x14ac:dyDescent="0.2">
      <c r="A22" s="26"/>
      <c r="C22" s="8"/>
      <c r="D22" s="8"/>
      <c r="E22" s="8"/>
      <c r="F22" s="8"/>
      <c r="S22" s="20"/>
      <c r="AF22" s="1"/>
    </row>
    <row r="23" spans="1:47" x14ac:dyDescent="0.2">
      <c r="A23" s="26"/>
      <c r="C23" s="8"/>
      <c r="D23" s="8"/>
      <c r="E23" s="8"/>
      <c r="F23" s="8"/>
      <c r="S23" s="20"/>
      <c r="AF23" s="1"/>
    </row>
    <row r="24" spans="1:47" ht="15.75" x14ac:dyDescent="0.25">
      <c r="A24" s="12" t="s">
        <v>123</v>
      </c>
      <c r="B24" s="13"/>
      <c r="C24" s="13"/>
      <c r="D24" s="13"/>
      <c r="E24" s="13"/>
      <c r="F24" s="13"/>
      <c r="T24" s="1"/>
      <c r="U24" s="1"/>
      <c r="V24" s="1"/>
      <c r="Y24" s="1"/>
      <c r="AC24"/>
      <c r="AD24"/>
      <c r="AG24" s="20"/>
    </row>
    <row r="25" spans="1:47" ht="15" x14ac:dyDescent="0.25">
      <c r="T25" s="1"/>
      <c r="U25" s="1"/>
      <c r="V25" s="1"/>
      <c r="Y25" s="1"/>
      <c r="AC25"/>
      <c r="AD25"/>
      <c r="AG25" s="20"/>
    </row>
    <row r="26" spans="1:47" ht="15" x14ac:dyDescent="0.25">
      <c r="T26" s="1"/>
      <c r="U26" s="1"/>
      <c r="V26" s="1"/>
      <c r="Y26" s="1"/>
      <c r="AC26"/>
      <c r="AD26"/>
      <c r="AG26" s="20"/>
    </row>
    <row r="27" spans="1:47" ht="15" x14ac:dyDescent="0.25">
      <c r="A27" s="224" t="s">
        <v>159</v>
      </c>
      <c r="B27" s="224"/>
      <c r="C27" s="224"/>
      <c r="D27" s="224"/>
      <c r="E27" s="224"/>
      <c r="F27" s="224"/>
      <c r="G27" s="224"/>
      <c r="H27" s="224"/>
      <c r="I27" s="224"/>
      <c r="J27" s="224"/>
      <c r="T27" s="1"/>
      <c r="U27" s="1"/>
      <c r="V27" s="1"/>
      <c r="Y27" s="1"/>
      <c r="AC27"/>
      <c r="AD27"/>
      <c r="AG27" s="20"/>
    </row>
    <row r="28" spans="1:47" ht="15.75" thickBot="1" x14ac:dyDescent="0.3">
      <c r="A28" s="36"/>
      <c r="B28" s="229" t="s">
        <v>126</v>
      </c>
      <c r="C28" s="227"/>
      <c r="D28" s="227"/>
      <c r="E28" s="228"/>
      <c r="F28" s="226" t="s">
        <v>127</v>
      </c>
      <c r="G28" s="227"/>
      <c r="H28" s="227"/>
      <c r="I28" s="228"/>
      <c r="J28" s="226" t="s">
        <v>128</v>
      </c>
      <c r="K28" s="227"/>
      <c r="L28" s="227"/>
      <c r="M28" s="227"/>
      <c r="T28" s="1"/>
      <c r="U28" s="1"/>
      <c r="V28" s="1"/>
      <c r="Y28" s="1"/>
      <c r="AC28"/>
      <c r="AD28"/>
      <c r="AG28" s="20"/>
    </row>
    <row r="29" spans="1:47" ht="26.25" thickBot="1" x14ac:dyDescent="0.3">
      <c r="A29" s="36"/>
      <c r="B29" s="75" t="str">
        <f>'Airways Aerodrome'!B42</f>
        <v>2021/22 Prices</v>
      </c>
      <c r="C29" s="76" t="str">
        <f>'Airways Aerodrome'!C42</f>
        <v>2022/23 Prices</v>
      </c>
      <c r="D29" s="77" t="str">
        <f>'Airways Aerodrome'!D42</f>
        <v>2023/24 Prices</v>
      </c>
      <c r="E29" s="77" t="str">
        <f>'Airways Aerodrome'!E42</f>
        <v>2024/25 Prices</v>
      </c>
      <c r="F29" s="73" t="str">
        <f>'Airways Aerodrome'!F42</f>
        <v>2021/22 Prices</v>
      </c>
      <c r="G29" s="73" t="str">
        <f>'Airways Aerodrome'!G42</f>
        <v>2022/23 Prices</v>
      </c>
      <c r="H29" s="73" t="str">
        <f>'Airways Aerodrome'!H42</f>
        <v>2023/24 Prices</v>
      </c>
      <c r="I29" s="73" t="str">
        <f>'Airways Aerodrome'!I42</f>
        <v>2024/25 Prices</v>
      </c>
      <c r="J29" s="73" t="str">
        <f>'Airways Aerodrome'!J42</f>
        <v>2021/22 Prices</v>
      </c>
      <c r="K29" s="73" t="str">
        <f>'Airways Aerodrome'!K42</f>
        <v>2022/23 Prices</v>
      </c>
      <c r="L29" s="73" t="str">
        <f>'Airways Aerodrome'!L42</f>
        <v>2023/24 Prices</v>
      </c>
      <c r="M29" s="74" t="str">
        <f>'Airways Aerodrome'!M42</f>
        <v>2024/25 Prices</v>
      </c>
      <c r="T29" s="1"/>
      <c r="U29" s="1"/>
      <c r="V29" s="1"/>
      <c r="W29" s="1"/>
      <c r="X29" s="1"/>
      <c r="AA29" s="1"/>
      <c r="AE29"/>
      <c r="AF29"/>
      <c r="AG29" s="20"/>
      <c r="AH29" s="20"/>
      <c r="AI29" s="20"/>
    </row>
    <row r="30" spans="1:47" ht="15.75" thickBot="1" x14ac:dyDescent="0.3">
      <c r="A30" s="70" t="s">
        <v>160</v>
      </c>
      <c r="B30" s="83">
        <v>5.95</v>
      </c>
      <c r="C30" s="57">
        <v>6.21</v>
      </c>
      <c r="D30" s="186">
        <v>6.36</v>
      </c>
      <c r="E30" s="187">
        <v>6.47</v>
      </c>
      <c r="F30" s="78">
        <v>23.84</v>
      </c>
      <c r="G30" s="53">
        <v>24.89</v>
      </c>
      <c r="H30" s="46">
        <v>25.49</v>
      </c>
      <c r="I30" s="58">
        <v>25.92</v>
      </c>
      <c r="J30" s="78">
        <v>9.2799999999999994</v>
      </c>
      <c r="K30" s="53">
        <v>10.11</v>
      </c>
      <c r="L30" s="186">
        <v>13.3</v>
      </c>
      <c r="M30" s="186">
        <v>13.98</v>
      </c>
      <c r="T30" s="1"/>
      <c r="U30" s="1"/>
      <c r="V30" s="1"/>
      <c r="W30" s="1"/>
      <c r="X30" s="1"/>
      <c r="Y30" s="1"/>
      <c r="AB30" s="1"/>
      <c r="AF30"/>
      <c r="AG30"/>
      <c r="AH30" s="20"/>
      <c r="AI30" s="20"/>
      <c r="AJ30" s="20"/>
    </row>
    <row r="31" spans="1:47" ht="15.75" thickBot="1" x14ac:dyDescent="0.3">
      <c r="A31" s="121" t="s">
        <v>161</v>
      </c>
      <c r="B31" s="84">
        <v>5.95</v>
      </c>
      <c r="C31" s="59">
        <v>6.21</v>
      </c>
      <c r="D31" s="188">
        <v>6.36</v>
      </c>
      <c r="E31" s="189">
        <v>6.47</v>
      </c>
      <c r="F31" s="79">
        <v>23.84</v>
      </c>
      <c r="G31" s="60">
        <v>24.89</v>
      </c>
      <c r="H31" s="61">
        <v>25.49</v>
      </c>
      <c r="I31" s="62">
        <v>25.92</v>
      </c>
      <c r="J31" s="79">
        <v>7.89</v>
      </c>
      <c r="K31" s="190">
        <v>8.6</v>
      </c>
      <c r="L31" s="188">
        <v>11.5</v>
      </c>
      <c r="M31" s="188">
        <v>12.25</v>
      </c>
      <c r="T31" s="1"/>
      <c r="U31" s="1"/>
      <c r="V31" s="1"/>
      <c r="W31" s="1"/>
      <c r="X31" s="1"/>
      <c r="Y31" s="1"/>
      <c r="AB31" s="1"/>
      <c r="AF31"/>
      <c r="AG31"/>
      <c r="AH31" s="20"/>
      <c r="AI31" s="20"/>
      <c r="AJ31" s="20"/>
    </row>
    <row r="32" spans="1:47" ht="39" thickBot="1" x14ac:dyDescent="0.3">
      <c r="A32" s="122" t="s">
        <v>162</v>
      </c>
      <c r="B32" s="85"/>
      <c r="C32" s="37"/>
      <c r="D32" s="37"/>
      <c r="E32" s="39"/>
      <c r="F32" s="80"/>
      <c r="G32" s="38"/>
      <c r="H32" s="37"/>
      <c r="I32" s="39"/>
      <c r="J32" s="80">
        <v>0.39</v>
      </c>
      <c r="K32" s="191">
        <v>0.43</v>
      </c>
      <c r="L32" s="191">
        <v>0.48</v>
      </c>
      <c r="M32" s="191">
        <v>0.45</v>
      </c>
      <c r="N32" s="239" t="s">
        <v>163</v>
      </c>
      <c r="O32" s="240"/>
      <c r="P32" s="240"/>
      <c r="Q32" s="240"/>
      <c r="T32" s="1"/>
      <c r="U32" s="1"/>
      <c r="V32" s="1"/>
      <c r="W32" s="1"/>
      <c r="X32" s="1"/>
      <c r="Y32" s="1"/>
      <c r="AB32" s="1"/>
      <c r="AF32"/>
      <c r="AG32"/>
      <c r="AH32" s="20"/>
      <c r="AI32" s="20"/>
      <c r="AJ32" s="20"/>
    </row>
    <row r="33" spans="1:36" ht="39" thickBot="1" x14ac:dyDescent="0.3">
      <c r="A33" s="71" t="s">
        <v>164</v>
      </c>
      <c r="B33" s="84"/>
      <c r="C33" s="41"/>
      <c r="D33" s="41"/>
      <c r="E33" s="43"/>
      <c r="F33" s="79"/>
      <c r="G33" s="42"/>
      <c r="H33" s="41"/>
      <c r="I33" s="43"/>
      <c r="J33" s="79">
        <v>1.61</v>
      </c>
      <c r="K33" s="192">
        <v>1.76</v>
      </c>
      <c r="L33" s="192">
        <v>1.69</v>
      </c>
      <c r="M33" s="192">
        <v>1.64</v>
      </c>
      <c r="N33" s="73" t="str">
        <f>J29</f>
        <v>2021/22 Prices</v>
      </c>
      <c r="O33" s="73" t="str">
        <f>K29</f>
        <v>2022/23 Prices</v>
      </c>
      <c r="P33" s="73" t="str">
        <f>L29</f>
        <v>2023/24 Prices</v>
      </c>
      <c r="Q33" s="73" t="str">
        <f>M29</f>
        <v>2024/25 Prices</v>
      </c>
      <c r="T33" s="1"/>
      <c r="U33" s="1"/>
      <c r="V33" s="1"/>
      <c r="W33" s="1"/>
      <c r="X33" s="1"/>
      <c r="Y33" s="1"/>
      <c r="AB33" s="1"/>
      <c r="AF33"/>
      <c r="AG33"/>
      <c r="AH33" s="20"/>
      <c r="AI33" s="20"/>
      <c r="AJ33" s="20"/>
    </row>
    <row r="34" spans="1:36" ht="15.75" thickBot="1" x14ac:dyDescent="0.3">
      <c r="A34" s="102" t="s">
        <v>15</v>
      </c>
      <c r="B34" s="123">
        <f t="shared" ref="B34:I34" si="2">B$30+B$32</f>
        <v>5.95</v>
      </c>
      <c r="C34" s="103">
        <f>C$30+C$32</f>
        <v>6.21</v>
      </c>
      <c r="D34" s="103">
        <f t="shared" si="2"/>
        <v>6.36</v>
      </c>
      <c r="E34" s="104">
        <f t="shared" si="2"/>
        <v>6.47</v>
      </c>
      <c r="F34" s="105">
        <f t="shared" si="2"/>
        <v>23.84</v>
      </c>
      <c r="G34" s="105">
        <f t="shared" si="2"/>
        <v>24.89</v>
      </c>
      <c r="H34" s="103">
        <f t="shared" si="2"/>
        <v>25.49</v>
      </c>
      <c r="I34" s="104">
        <f t="shared" si="2"/>
        <v>25.92</v>
      </c>
      <c r="J34" s="106">
        <f>J$30</f>
        <v>9.2799999999999994</v>
      </c>
      <c r="K34" s="106">
        <f>K$30</f>
        <v>10.11</v>
      </c>
      <c r="L34" s="106">
        <f>L$30</f>
        <v>13.3</v>
      </c>
      <c r="M34" s="106">
        <f>M$30</f>
        <v>13.98</v>
      </c>
      <c r="N34" s="114">
        <f>J32</f>
        <v>0.39</v>
      </c>
      <c r="O34" s="115">
        <f>K32</f>
        <v>0.43</v>
      </c>
      <c r="P34" s="115">
        <f>L32</f>
        <v>0.48</v>
      </c>
      <c r="Q34" s="116">
        <f>M32</f>
        <v>0.45</v>
      </c>
      <c r="T34" s="1"/>
      <c r="U34" s="1"/>
      <c r="V34" s="1"/>
      <c r="W34" s="1"/>
      <c r="X34" s="1"/>
      <c r="Y34" s="1"/>
      <c r="AB34" s="1"/>
      <c r="AF34"/>
      <c r="AG34"/>
      <c r="AH34" s="20"/>
      <c r="AI34" s="20"/>
      <c r="AJ34" s="20"/>
    </row>
    <row r="35" spans="1:36" ht="15.75" thickBot="1" x14ac:dyDescent="0.3">
      <c r="A35" s="102" t="s">
        <v>57</v>
      </c>
      <c r="B35" s="123">
        <f t="shared" ref="B35:L36" si="3">B$30</f>
        <v>5.95</v>
      </c>
      <c r="C35" s="103">
        <f>C$30</f>
        <v>6.21</v>
      </c>
      <c r="D35" s="103">
        <f t="shared" si="3"/>
        <v>6.36</v>
      </c>
      <c r="E35" s="104">
        <f t="shared" si="3"/>
        <v>6.47</v>
      </c>
      <c r="F35" s="105">
        <f>F$30</f>
        <v>23.84</v>
      </c>
      <c r="G35" s="105">
        <f>G$30</f>
        <v>24.89</v>
      </c>
      <c r="H35" s="103">
        <f t="shared" si="3"/>
        <v>25.49</v>
      </c>
      <c r="I35" s="104">
        <f t="shared" si="3"/>
        <v>25.92</v>
      </c>
      <c r="J35" s="106">
        <f t="shared" si="3"/>
        <v>9.2799999999999994</v>
      </c>
      <c r="K35" s="106">
        <f t="shared" si="3"/>
        <v>10.11</v>
      </c>
      <c r="L35" s="107">
        <f t="shared" si="3"/>
        <v>13.3</v>
      </c>
      <c r="M35" s="108">
        <f>M$30</f>
        <v>13.98</v>
      </c>
      <c r="N35" s="114">
        <v>0</v>
      </c>
      <c r="O35" s="115">
        <v>0</v>
      </c>
      <c r="P35" s="115">
        <v>0</v>
      </c>
      <c r="Q35" s="116">
        <v>0</v>
      </c>
      <c r="T35" s="1"/>
      <c r="U35" s="1"/>
      <c r="V35" s="1"/>
      <c r="W35" s="1"/>
      <c r="X35" s="1"/>
      <c r="Y35" s="1"/>
      <c r="AB35" s="1"/>
      <c r="AF35"/>
      <c r="AG35"/>
      <c r="AH35" s="20"/>
      <c r="AI35" s="20"/>
      <c r="AJ35" s="20"/>
    </row>
    <row r="36" spans="1:36" ht="15.75" thickBot="1" x14ac:dyDescent="0.3">
      <c r="A36" s="102" t="s">
        <v>82</v>
      </c>
      <c r="B36" s="123">
        <f t="shared" si="3"/>
        <v>5.95</v>
      </c>
      <c r="C36" s="103">
        <f t="shared" si="3"/>
        <v>6.21</v>
      </c>
      <c r="D36" s="103">
        <f t="shared" si="3"/>
        <v>6.36</v>
      </c>
      <c r="E36" s="104">
        <f t="shared" si="3"/>
        <v>6.47</v>
      </c>
      <c r="F36" s="105">
        <f t="shared" si="3"/>
        <v>23.84</v>
      </c>
      <c r="G36" s="105">
        <f t="shared" si="3"/>
        <v>24.89</v>
      </c>
      <c r="H36" s="103">
        <f t="shared" si="3"/>
        <v>25.49</v>
      </c>
      <c r="I36" s="104">
        <f t="shared" si="3"/>
        <v>25.92</v>
      </c>
      <c r="J36" s="106">
        <f>J$30</f>
        <v>9.2799999999999994</v>
      </c>
      <c r="K36" s="106">
        <f>K$30</f>
        <v>10.11</v>
      </c>
      <c r="L36" s="107">
        <f>L$30</f>
        <v>13.3</v>
      </c>
      <c r="M36" s="108">
        <f>M$30</f>
        <v>13.98</v>
      </c>
      <c r="N36" s="114">
        <v>0</v>
      </c>
      <c r="O36" s="115">
        <v>0</v>
      </c>
      <c r="P36" s="115">
        <v>0</v>
      </c>
      <c r="Q36" s="116">
        <v>0</v>
      </c>
      <c r="T36" s="1"/>
      <c r="U36" s="1"/>
      <c r="V36" s="1"/>
      <c r="W36" s="1"/>
      <c r="X36" s="1"/>
      <c r="Y36" s="1"/>
      <c r="AB36" s="1"/>
      <c r="AF36"/>
      <c r="AG36"/>
      <c r="AH36" s="20"/>
      <c r="AI36" s="20"/>
      <c r="AJ36" s="20"/>
    </row>
    <row r="37" spans="1:36" ht="15.75" thickBot="1" x14ac:dyDescent="0.3">
      <c r="A37" s="102" t="s">
        <v>74</v>
      </c>
      <c r="B37" s="123">
        <f>B$31+B$33</f>
        <v>5.95</v>
      </c>
      <c r="C37" s="103">
        <f t="shared" ref="C37:I37" si="4">C$31+C$33</f>
        <v>6.21</v>
      </c>
      <c r="D37" s="103">
        <f t="shared" si="4"/>
        <v>6.36</v>
      </c>
      <c r="E37" s="104">
        <f t="shared" si="4"/>
        <v>6.47</v>
      </c>
      <c r="F37" s="105">
        <f t="shared" si="4"/>
        <v>23.84</v>
      </c>
      <c r="G37" s="105">
        <f t="shared" si="4"/>
        <v>24.89</v>
      </c>
      <c r="H37" s="103">
        <f t="shared" si="4"/>
        <v>25.49</v>
      </c>
      <c r="I37" s="104">
        <f t="shared" si="4"/>
        <v>25.92</v>
      </c>
      <c r="J37" s="106">
        <f>J$31+J33</f>
        <v>9.5</v>
      </c>
      <c r="K37" s="106">
        <f t="shared" ref="K37:M37" si="5">K$31+K33</f>
        <v>10.36</v>
      </c>
      <c r="L37" s="106">
        <f t="shared" si="5"/>
        <v>13.19</v>
      </c>
      <c r="M37" s="106">
        <f t="shared" si="5"/>
        <v>13.89</v>
      </c>
      <c r="N37" s="114">
        <v>0</v>
      </c>
      <c r="O37" s="115">
        <v>0</v>
      </c>
      <c r="P37" s="115">
        <v>0</v>
      </c>
      <c r="Q37" s="116">
        <v>0</v>
      </c>
      <c r="T37" s="1"/>
      <c r="U37" s="1"/>
      <c r="V37" s="1"/>
      <c r="W37" s="1"/>
      <c r="X37" s="1"/>
      <c r="Y37" s="1"/>
      <c r="AB37" s="1"/>
      <c r="AF37"/>
      <c r="AG37"/>
      <c r="AH37" s="20"/>
      <c r="AI37" s="20"/>
      <c r="AJ37" s="20"/>
    </row>
    <row r="38" spans="1:36" ht="15.75" thickBot="1" x14ac:dyDescent="0.3">
      <c r="A38" s="102" t="s">
        <v>70</v>
      </c>
      <c r="B38" s="123">
        <f t="shared" ref="B38:M48" si="6">B$31</f>
        <v>5.95</v>
      </c>
      <c r="C38" s="103">
        <f t="shared" si="6"/>
        <v>6.21</v>
      </c>
      <c r="D38" s="103">
        <f t="shared" si="6"/>
        <v>6.36</v>
      </c>
      <c r="E38" s="104">
        <f t="shared" si="6"/>
        <v>6.47</v>
      </c>
      <c r="F38" s="105">
        <f t="shared" si="6"/>
        <v>23.84</v>
      </c>
      <c r="G38" s="105">
        <f t="shared" si="6"/>
        <v>24.89</v>
      </c>
      <c r="H38" s="103">
        <f t="shared" si="6"/>
        <v>25.49</v>
      </c>
      <c r="I38" s="104">
        <f t="shared" si="6"/>
        <v>25.92</v>
      </c>
      <c r="J38" s="106">
        <f t="shared" si="6"/>
        <v>7.89</v>
      </c>
      <c r="K38" s="106">
        <f t="shared" si="6"/>
        <v>8.6</v>
      </c>
      <c r="L38" s="107">
        <f t="shared" si="6"/>
        <v>11.5</v>
      </c>
      <c r="M38" s="108">
        <f t="shared" si="6"/>
        <v>12.25</v>
      </c>
      <c r="N38" s="114">
        <v>0</v>
      </c>
      <c r="O38" s="115">
        <v>0</v>
      </c>
      <c r="P38" s="115">
        <v>0</v>
      </c>
      <c r="Q38" s="116">
        <v>0</v>
      </c>
      <c r="T38" s="1"/>
      <c r="U38" s="1"/>
      <c r="V38" s="1"/>
      <c r="W38" s="1"/>
      <c r="X38" s="1"/>
      <c r="Y38" s="1"/>
      <c r="AB38" s="1"/>
      <c r="AF38"/>
      <c r="AG38"/>
      <c r="AH38" s="20"/>
      <c r="AI38" s="20"/>
      <c r="AJ38" s="20"/>
    </row>
    <row r="39" spans="1:36" ht="15.75" thickBot="1" x14ac:dyDescent="0.3">
      <c r="A39" s="102" t="s">
        <v>73</v>
      </c>
      <c r="B39" s="123">
        <f t="shared" si="6"/>
        <v>5.95</v>
      </c>
      <c r="C39" s="103">
        <f t="shared" si="6"/>
        <v>6.21</v>
      </c>
      <c r="D39" s="103">
        <f t="shared" si="6"/>
        <v>6.36</v>
      </c>
      <c r="E39" s="104">
        <f t="shared" si="6"/>
        <v>6.47</v>
      </c>
      <c r="F39" s="105">
        <f t="shared" si="6"/>
        <v>23.84</v>
      </c>
      <c r="G39" s="105">
        <f t="shared" si="6"/>
        <v>24.89</v>
      </c>
      <c r="H39" s="103">
        <f t="shared" si="6"/>
        <v>25.49</v>
      </c>
      <c r="I39" s="104">
        <f t="shared" si="6"/>
        <v>25.92</v>
      </c>
      <c r="J39" s="106">
        <f t="shared" si="6"/>
        <v>7.89</v>
      </c>
      <c r="K39" s="106">
        <f t="shared" si="6"/>
        <v>8.6</v>
      </c>
      <c r="L39" s="107">
        <f t="shared" si="6"/>
        <v>11.5</v>
      </c>
      <c r="M39" s="108">
        <f t="shared" si="6"/>
        <v>12.25</v>
      </c>
      <c r="N39" s="114">
        <v>0</v>
      </c>
      <c r="O39" s="115">
        <v>0</v>
      </c>
      <c r="P39" s="115">
        <v>0</v>
      </c>
      <c r="Q39" s="116">
        <v>0</v>
      </c>
      <c r="T39" s="1"/>
      <c r="U39" s="1"/>
      <c r="V39" s="1"/>
      <c r="W39" s="1"/>
      <c r="X39" s="1"/>
      <c r="Y39" s="1"/>
      <c r="AB39" s="1"/>
      <c r="AF39"/>
      <c r="AG39"/>
      <c r="AH39" s="20"/>
      <c r="AI39" s="20"/>
      <c r="AJ39" s="20"/>
    </row>
    <row r="40" spans="1:36" ht="15.75" thickBot="1" x14ac:dyDescent="0.3">
      <c r="A40" s="102" t="s">
        <v>77</v>
      </c>
      <c r="B40" s="123">
        <f t="shared" si="6"/>
        <v>5.95</v>
      </c>
      <c r="C40" s="103">
        <f t="shared" si="6"/>
        <v>6.21</v>
      </c>
      <c r="D40" s="103">
        <f t="shared" si="6"/>
        <v>6.36</v>
      </c>
      <c r="E40" s="104">
        <f t="shared" si="6"/>
        <v>6.47</v>
      </c>
      <c r="F40" s="105">
        <f t="shared" si="6"/>
        <v>23.84</v>
      </c>
      <c r="G40" s="105">
        <f t="shared" si="6"/>
        <v>24.89</v>
      </c>
      <c r="H40" s="103">
        <f t="shared" si="6"/>
        <v>25.49</v>
      </c>
      <c r="I40" s="104">
        <f t="shared" si="6"/>
        <v>25.92</v>
      </c>
      <c r="J40" s="106">
        <f t="shared" si="6"/>
        <v>7.89</v>
      </c>
      <c r="K40" s="106">
        <f t="shared" si="6"/>
        <v>8.6</v>
      </c>
      <c r="L40" s="107">
        <f t="shared" si="6"/>
        <v>11.5</v>
      </c>
      <c r="M40" s="108">
        <f t="shared" si="6"/>
        <v>12.25</v>
      </c>
      <c r="N40" s="114">
        <v>0</v>
      </c>
      <c r="O40" s="115">
        <v>0</v>
      </c>
      <c r="P40" s="115">
        <v>0</v>
      </c>
      <c r="Q40" s="116">
        <v>0</v>
      </c>
      <c r="T40" s="1"/>
      <c r="U40" s="1"/>
      <c r="V40" s="1"/>
      <c r="W40" s="1"/>
      <c r="X40" s="1"/>
      <c r="Y40" s="1"/>
      <c r="AB40" s="1"/>
      <c r="AF40"/>
      <c r="AG40"/>
      <c r="AH40" s="20"/>
      <c r="AI40" s="20"/>
      <c r="AJ40" s="20"/>
    </row>
    <row r="41" spans="1:36" ht="15.75" thickBot="1" x14ac:dyDescent="0.3">
      <c r="A41" s="102" t="s">
        <v>62</v>
      </c>
      <c r="B41" s="123">
        <f t="shared" si="6"/>
        <v>5.95</v>
      </c>
      <c r="C41" s="103">
        <f t="shared" si="6"/>
        <v>6.21</v>
      </c>
      <c r="D41" s="103">
        <f t="shared" si="6"/>
        <v>6.36</v>
      </c>
      <c r="E41" s="104">
        <f t="shared" si="6"/>
        <v>6.47</v>
      </c>
      <c r="F41" s="105">
        <f t="shared" si="6"/>
        <v>23.84</v>
      </c>
      <c r="G41" s="105">
        <f t="shared" si="6"/>
        <v>24.89</v>
      </c>
      <c r="H41" s="103">
        <f t="shared" si="6"/>
        <v>25.49</v>
      </c>
      <c r="I41" s="104">
        <f t="shared" si="6"/>
        <v>25.92</v>
      </c>
      <c r="J41" s="106">
        <f t="shared" si="6"/>
        <v>7.89</v>
      </c>
      <c r="K41" s="106">
        <f t="shared" si="6"/>
        <v>8.6</v>
      </c>
      <c r="L41" s="107">
        <f t="shared" si="6"/>
        <v>11.5</v>
      </c>
      <c r="M41" s="108">
        <f t="shared" si="6"/>
        <v>12.25</v>
      </c>
      <c r="N41" s="114">
        <v>0</v>
      </c>
      <c r="O41" s="115">
        <v>0</v>
      </c>
      <c r="P41" s="115">
        <v>0</v>
      </c>
      <c r="Q41" s="116">
        <v>0</v>
      </c>
      <c r="T41" s="1"/>
      <c r="U41" s="1"/>
      <c r="V41" s="1"/>
      <c r="W41" s="1"/>
      <c r="X41" s="1"/>
      <c r="Y41" s="1"/>
      <c r="AB41" s="1"/>
      <c r="AF41"/>
      <c r="AG41"/>
      <c r="AH41" s="20"/>
      <c r="AI41" s="20"/>
      <c r="AJ41" s="20"/>
    </row>
    <row r="42" spans="1:36" ht="15.75" thickBot="1" x14ac:dyDescent="0.3">
      <c r="A42" s="102" t="s">
        <v>59</v>
      </c>
      <c r="B42" s="123">
        <f t="shared" si="6"/>
        <v>5.95</v>
      </c>
      <c r="C42" s="103">
        <f t="shared" si="6"/>
        <v>6.21</v>
      </c>
      <c r="D42" s="103">
        <f t="shared" si="6"/>
        <v>6.36</v>
      </c>
      <c r="E42" s="104">
        <f t="shared" si="6"/>
        <v>6.47</v>
      </c>
      <c r="F42" s="105">
        <f t="shared" si="6"/>
        <v>23.84</v>
      </c>
      <c r="G42" s="105">
        <f t="shared" si="6"/>
        <v>24.89</v>
      </c>
      <c r="H42" s="103">
        <f t="shared" si="6"/>
        <v>25.49</v>
      </c>
      <c r="I42" s="104">
        <f t="shared" si="6"/>
        <v>25.92</v>
      </c>
      <c r="J42" s="106">
        <f t="shared" si="6"/>
        <v>7.89</v>
      </c>
      <c r="K42" s="106">
        <f t="shared" si="6"/>
        <v>8.6</v>
      </c>
      <c r="L42" s="107">
        <f t="shared" si="6"/>
        <v>11.5</v>
      </c>
      <c r="M42" s="108">
        <f t="shared" si="6"/>
        <v>12.25</v>
      </c>
      <c r="N42" s="114">
        <v>0</v>
      </c>
      <c r="O42" s="115">
        <v>0</v>
      </c>
      <c r="P42" s="115">
        <v>0</v>
      </c>
      <c r="Q42" s="116">
        <v>0</v>
      </c>
      <c r="T42" s="1"/>
      <c r="U42" s="1"/>
      <c r="V42" s="1"/>
      <c r="W42" s="1"/>
      <c r="X42" s="1"/>
      <c r="Y42" s="1"/>
      <c r="AB42" s="1"/>
      <c r="AF42"/>
      <c r="AG42"/>
      <c r="AH42" s="20"/>
      <c r="AI42" s="20"/>
      <c r="AJ42" s="20"/>
    </row>
    <row r="43" spans="1:36" ht="15.75" thickBot="1" x14ac:dyDescent="0.3">
      <c r="A43" s="102" t="s">
        <v>60</v>
      </c>
      <c r="B43" s="123">
        <f t="shared" si="6"/>
        <v>5.95</v>
      </c>
      <c r="C43" s="103">
        <f t="shared" si="6"/>
        <v>6.21</v>
      </c>
      <c r="D43" s="103">
        <f t="shared" si="6"/>
        <v>6.36</v>
      </c>
      <c r="E43" s="104">
        <f t="shared" si="6"/>
        <v>6.47</v>
      </c>
      <c r="F43" s="105">
        <f t="shared" si="6"/>
        <v>23.84</v>
      </c>
      <c r="G43" s="105">
        <f t="shared" si="6"/>
        <v>24.89</v>
      </c>
      <c r="H43" s="103">
        <f t="shared" si="6"/>
        <v>25.49</v>
      </c>
      <c r="I43" s="104">
        <f t="shared" si="6"/>
        <v>25.92</v>
      </c>
      <c r="J43" s="106">
        <f t="shared" si="6"/>
        <v>7.89</v>
      </c>
      <c r="K43" s="106">
        <f t="shared" si="6"/>
        <v>8.6</v>
      </c>
      <c r="L43" s="107">
        <f t="shared" si="6"/>
        <v>11.5</v>
      </c>
      <c r="M43" s="108">
        <f t="shared" si="6"/>
        <v>12.25</v>
      </c>
      <c r="N43" s="114">
        <v>0</v>
      </c>
      <c r="O43" s="115">
        <v>0</v>
      </c>
      <c r="P43" s="115">
        <v>0</v>
      </c>
      <c r="Q43" s="116">
        <v>0</v>
      </c>
      <c r="T43" s="1"/>
      <c r="U43" s="1"/>
      <c r="V43" s="1"/>
      <c r="W43" s="1"/>
      <c r="X43" s="1"/>
      <c r="Y43" s="1"/>
      <c r="AB43" s="1"/>
      <c r="AF43"/>
      <c r="AG43"/>
      <c r="AH43" s="20"/>
      <c r="AI43" s="20"/>
      <c r="AJ43" s="20"/>
    </row>
    <row r="44" spans="1:36" ht="15.75" thickBot="1" x14ac:dyDescent="0.3">
      <c r="A44" s="102" t="s">
        <v>71</v>
      </c>
      <c r="B44" s="123">
        <f t="shared" si="6"/>
        <v>5.95</v>
      </c>
      <c r="C44" s="103">
        <f t="shared" si="6"/>
        <v>6.21</v>
      </c>
      <c r="D44" s="103">
        <f t="shared" si="6"/>
        <v>6.36</v>
      </c>
      <c r="E44" s="104">
        <f t="shared" si="6"/>
        <v>6.47</v>
      </c>
      <c r="F44" s="105">
        <f t="shared" si="6"/>
        <v>23.84</v>
      </c>
      <c r="G44" s="105">
        <f t="shared" si="6"/>
        <v>24.89</v>
      </c>
      <c r="H44" s="103">
        <f t="shared" si="6"/>
        <v>25.49</v>
      </c>
      <c r="I44" s="104">
        <f t="shared" si="6"/>
        <v>25.92</v>
      </c>
      <c r="J44" s="106">
        <f t="shared" si="6"/>
        <v>7.89</v>
      </c>
      <c r="K44" s="106">
        <f t="shared" si="6"/>
        <v>8.6</v>
      </c>
      <c r="L44" s="107">
        <f t="shared" si="6"/>
        <v>11.5</v>
      </c>
      <c r="M44" s="108">
        <f t="shared" si="6"/>
        <v>12.25</v>
      </c>
      <c r="N44" s="114">
        <v>0</v>
      </c>
      <c r="O44" s="115">
        <v>0</v>
      </c>
      <c r="P44" s="115">
        <v>0</v>
      </c>
      <c r="Q44" s="116">
        <v>0</v>
      </c>
      <c r="T44" s="1"/>
      <c r="U44" s="1"/>
      <c r="V44" s="1"/>
      <c r="W44" s="1"/>
      <c r="X44" s="1"/>
      <c r="Y44" s="1"/>
      <c r="AB44" s="1"/>
      <c r="AF44"/>
      <c r="AG44"/>
      <c r="AH44" s="20"/>
      <c r="AI44" s="20"/>
      <c r="AJ44" s="20"/>
    </row>
    <row r="45" spans="1:36" ht="15.75" thickBot="1" x14ac:dyDescent="0.3">
      <c r="A45" s="102" t="s">
        <v>69</v>
      </c>
      <c r="B45" s="123">
        <f t="shared" si="6"/>
        <v>5.95</v>
      </c>
      <c r="C45" s="103">
        <f t="shared" si="6"/>
        <v>6.21</v>
      </c>
      <c r="D45" s="103">
        <f t="shared" si="6"/>
        <v>6.36</v>
      </c>
      <c r="E45" s="104">
        <f t="shared" si="6"/>
        <v>6.47</v>
      </c>
      <c r="F45" s="105">
        <f t="shared" si="6"/>
        <v>23.84</v>
      </c>
      <c r="G45" s="105">
        <f t="shared" si="6"/>
        <v>24.89</v>
      </c>
      <c r="H45" s="103">
        <f t="shared" si="6"/>
        <v>25.49</v>
      </c>
      <c r="I45" s="104">
        <f t="shared" si="6"/>
        <v>25.92</v>
      </c>
      <c r="J45" s="106">
        <f t="shared" si="6"/>
        <v>7.89</v>
      </c>
      <c r="K45" s="106">
        <f t="shared" si="6"/>
        <v>8.6</v>
      </c>
      <c r="L45" s="107">
        <f t="shared" si="6"/>
        <v>11.5</v>
      </c>
      <c r="M45" s="108">
        <f t="shared" si="6"/>
        <v>12.25</v>
      </c>
      <c r="N45" s="114">
        <v>0</v>
      </c>
      <c r="O45" s="115">
        <v>0</v>
      </c>
      <c r="P45" s="115">
        <v>0</v>
      </c>
      <c r="Q45" s="116">
        <v>0</v>
      </c>
      <c r="T45" s="1"/>
      <c r="U45" s="1"/>
      <c r="V45" s="1"/>
      <c r="W45" s="1"/>
      <c r="X45" s="1"/>
      <c r="Y45" s="1"/>
      <c r="AB45" s="1"/>
      <c r="AF45"/>
      <c r="AG45"/>
      <c r="AH45" s="20"/>
      <c r="AI45" s="20"/>
      <c r="AJ45" s="20"/>
    </row>
    <row r="46" spans="1:36" ht="15.75" thickBot="1" x14ac:dyDescent="0.3">
      <c r="A46" s="102" t="s">
        <v>64</v>
      </c>
      <c r="B46" s="123">
        <f t="shared" si="6"/>
        <v>5.95</v>
      </c>
      <c r="C46" s="103">
        <f t="shared" si="6"/>
        <v>6.21</v>
      </c>
      <c r="D46" s="103">
        <f t="shared" si="6"/>
        <v>6.36</v>
      </c>
      <c r="E46" s="104">
        <f t="shared" si="6"/>
        <v>6.47</v>
      </c>
      <c r="F46" s="105">
        <f t="shared" si="6"/>
        <v>23.84</v>
      </c>
      <c r="G46" s="105">
        <f t="shared" si="6"/>
        <v>24.89</v>
      </c>
      <c r="H46" s="103">
        <f t="shared" si="6"/>
        <v>25.49</v>
      </c>
      <c r="I46" s="104">
        <f t="shared" si="6"/>
        <v>25.92</v>
      </c>
      <c r="J46" s="106">
        <f t="shared" si="6"/>
        <v>7.89</v>
      </c>
      <c r="K46" s="106">
        <f t="shared" si="6"/>
        <v>8.6</v>
      </c>
      <c r="L46" s="107">
        <f t="shared" si="6"/>
        <v>11.5</v>
      </c>
      <c r="M46" s="108">
        <f t="shared" si="6"/>
        <v>12.25</v>
      </c>
      <c r="N46" s="114">
        <v>0</v>
      </c>
      <c r="O46" s="115">
        <v>0</v>
      </c>
      <c r="P46" s="115">
        <v>0</v>
      </c>
      <c r="Q46" s="116">
        <v>0</v>
      </c>
      <c r="T46" s="1"/>
      <c r="U46" s="1"/>
      <c r="V46" s="1"/>
      <c r="W46" s="1"/>
      <c r="X46" s="1"/>
      <c r="Y46" s="1"/>
      <c r="AB46" s="1"/>
      <c r="AF46"/>
      <c r="AG46"/>
      <c r="AH46" s="20"/>
      <c r="AI46" s="20"/>
      <c r="AJ46" s="20"/>
    </row>
    <row r="47" spans="1:36" ht="15.75" thickBot="1" x14ac:dyDescent="0.3">
      <c r="A47" s="102" t="s">
        <v>75</v>
      </c>
      <c r="B47" s="123">
        <f t="shared" si="6"/>
        <v>5.95</v>
      </c>
      <c r="C47" s="103">
        <f t="shared" si="6"/>
        <v>6.21</v>
      </c>
      <c r="D47" s="103">
        <f t="shared" si="6"/>
        <v>6.36</v>
      </c>
      <c r="E47" s="104">
        <f t="shared" si="6"/>
        <v>6.47</v>
      </c>
      <c r="F47" s="105">
        <f t="shared" si="6"/>
        <v>23.84</v>
      </c>
      <c r="G47" s="105">
        <f t="shared" si="6"/>
        <v>24.89</v>
      </c>
      <c r="H47" s="103">
        <f t="shared" si="6"/>
        <v>25.49</v>
      </c>
      <c r="I47" s="104">
        <f t="shared" si="6"/>
        <v>25.92</v>
      </c>
      <c r="J47" s="106">
        <f t="shared" si="6"/>
        <v>7.89</v>
      </c>
      <c r="K47" s="106">
        <f t="shared" si="6"/>
        <v>8.6</v>
      </c>
      <c r="L47" s="107">
        <f t="shared" si="6"/>
        <v>11.5</v>
      </c>
      <c r="M47" s="108">
        <f t="shared" si="6"/>
        <v>12.25</v>
      </c>
      <c r="N47" s="114">
        <v>0</v>
      </c>
      <c r="O47" s="115">
        <v>0</v>
      </c>
      <c r="P47" s="115">
        <v>0</v>
      </c>
      <c r="Q47" s="116">
        <v>0</v>
      </c>
      <c r="T47" s="1"/>
      <c r="U47" s="1"/>
      <c r="V47" s="1"/>
      <c r="W47" s="1"/>
      <c r="X47" s="1"/>
      <c r="Y47" s="1"/>
      <c r="AB47" s="1"/>
      <c r="AF47"/>
      <c r="AG47"/>
      <c r="AH47" s="20"/>
      <c r="AI47" s="20"/>
      <c r="AJ47" s="20"/>
    </row>
    <row r="48" spans="1:36" ht="15.75" thickBot="1" x14ac:dyDescent="0.3">
      <c r="A48" s="102" t="s">
        <v>86</v>
      </c>
      <c r="B48" s="123">
        <f t="shared" si="6"/>
        <v>5.95</v>
      </c>
      <c r="C48" s="103">
        <f t="shared" si="6"/>
        <v>6.21</v>
      </c>
      <c r="D48" s="103">
        <f t="shared" si="6"/>
        <v>6.36</v>
      </c>
      <c r="E48" s="104">
        <f t="shared" si="6"/>
        <v>6.47</v>
      </c>
      <c r="F48" s="105">
        <f t="shared" si="6"/>
        <v>23.84</v>
      </c>
      <c r="G48" s="105">
        <f t="shared" si="6"/>
        <v>24.89</v>
      </c>
      <c r="H48" s="103">
        <f t="shared" si="6"/>
        <v>25.49</v>
      </c>
      <c r="I48" s="104">
        <f t="shared" si="6"/>
        <v>25.92</v>
      </c>
      <c r="J48" s="106">
        <f t="shared" si="6"/>
        <v>7.89</v>
      </c>
      <c r="K48" s="106">
        <f t="shared" si="6"/>
        <v>8.6</v>
      </c>
      <c r="L48" s="107">
        <f t="shared" si="6"/>
        <v>11.5</v>
      </c>
      <c r="M48" s="108">
        <f t="shared" si="6"/>
        <v>12.25</v>
      </c>
      <c r="N48" s="117">
        <v>0</v>
      </c>
      <c r="O48" s="118">
        <v>0</v>
      </c>
      <c r="P48" s="118">
        <v>0</v>
      </c>
      <c r="Q48" s="119">
        <v>0</v>
      </c>
      <c r="T48" s="1"/>
      <c r="U48" s="1"/>
      <c r="V48" s="1"/>
      <c r="W48" s="1"/>
      <c r="X48" s="1"/>
      <c r="Y48" s="1"/>
      <c r="AB48" s="1"/>
      <c r="AF48"/>
      <c r="AG48"/>
      <c r="AH48" s="20"/>
      <c r="AI48" s="20"/>
      <c r="AJ48" s="20"/>
    </row>
    <row r="49" spans="1:36" ht="15.75" customHeight="1" thickBot="1" x14ac:dyDescent="0.3">
      <c r="A49" s="63" t="s">
        <v>68</v>
      </c>
      <c r="B49" s="85"/>
      <c r="C49" s="37"/>
      <c r="D49" s="37"/>
      <c r="E49" s="39"/>
      <c r="F49" s="80"/>
      <c r="G49" s="38"/>
      <c r="H49" s="37"/>
      <c r="I49" s="39"/>
      <c r="J49" s="242"/>
      <c r="K49" s="243"/>
      <c r="L49" s="243"/>
      <c r="M49" s="244"/>
      <c r="T49" s="1"/>
      <c r="U49" s="1"/>
      <c r="V49" s="1"/>
      <c r="W49" s="1"/>
      <c r="X49" s="1"/>
      <c r="AA49" s="1"/>
      <c r="AE49"/>
      <c r="AF49"/>
      <c r="AG49" s="20"/>
      <c r="AH49" s="20"/>
      <c r="AI49" s="20"/>
    </row>
    <row r="50" spans="1:36" ht="15.75" thickBot="1" x14ac:dyDescent="0.3">
      <c r="A50" s="65" t="s">
        <v>66</v>
      </c>
      <c r="B50" s="124"/>
      <c r="C50" s="54"/>
      <c r="D50" s="54"/>
      <c r="E50" s="56"/>
      <c r="F50" s="81"/>
      <c r="G50" s="55"/>
      <c r="H50" s="54"/>
      <c r="I50" s="56"/>
      <c r="J50" s="81"/>
      <c r="K50" s="55"/>
      <c r="L50" s="54"/>
      <c r="M50" s="56"/>
      <c r="T50" s="1"/>
      <c r="U50" s="1"/>
      <c r="V50" s="1"/>
      <c r="W50" s="1"/>
      <c r="X50" s="1"/>
      <c r="Y50" s="1"/>
      <c r="AB50" s="1"/>
      <c r="AF50"/>
      <c r="AG50"/>
      <c r="AH50" s="20"/>
      <c r="AI50" s="20"/>
      <c r="AJ50" s="20"/>
    </row>
    <row r="51" spans="1:36" ht="15.75" customHeight="1" x14ac:dyDescent="0.25">
      <c r="A51" s="230" t="s">
        <v>133</v>
      </c>
      <c r="B51" s="245"/>
      <c r="C51" s="245"/>
      <c r="D51" s="245"/>
      <c r="E51" s="245"/>
      <c r="F51" s="245"/>
      <c r="G51" s="245"/>
      <c r="H51" s="245"/>
      <c r="I51" s="245"/>
      <c r="J51" s="245"/>
      <c r="K51" s="245"/>
      <c r="L51" s="245"/>
      <c r="M51" s="246"/>
      <c r="T51" s="1"/>
      <c r="U51" s="1"/>
      <c r="V51" s="1"/>
      <c r="Y51" s="1"/>
      <c r="AC51"/>
      <c r="AD51"/>
      <c r="AG51" s="20"/>
    </row>
    <row r="52" spans="1:36" ht="15.75" customHeight="1" x14ac:dyDescent="0.25">
      <c r="A52" s="233" t="s">
        <v>134</v>
      </c>
      <c r="B52" s="234"/>
      <c r="C52" s="234"/>
      <c r="D52" s="234"/>
      <c r="E52" s="234"/>
      <c r="F52" s="234"/>
      <c r="G52" s="234"/>
      <c r="H52" s="234"/>
      <c r="I52" s="234"/>
      <c r="J52" s="234"/>
      <c r="K52" s="234"/>
      <c r="L52" s="234"/>
      <c r="M52" s="235"/>
      <c r="T52" s="1"/>
      <c r="U52" s="1"/>
      <c r="V52" s="1"/>
      <c r="Y52" s="1"/>
      <c r="AC52"/>
      <c r="AD52"/>
      <c r="AG52" s="20"/>
    </row>
    <row r="53" spans="1:36" ht="15.75" customHeight="1" thickBot="1" x14ac:dyDescent="0.3">
      <c r="A53" s="236" t="s">
        <v>135</v>
      </c>
      <c r="B53" s="237"/>
      <c r="C53" s="237"/>
      <c r="D53" s="237"/>
      <c r="E53" s="237"/>
      <c r="F53" s="237"/>
      <c r="G53" s="237"/>
      <c r="H53" s="237"/>
      <c r="I53" s="237"/>
      <c r="J53" s="237"/>
      <c r="K53" s="237"/>
      <c r="L53" s="237"/>
      <c r="M53" s="238"/>
      <c r="T53" s="1"/>
      <c r="U53" s="1"/>
      <c r="V53" s="1"/>
      <c r="Y53" s="1"/>
      <c r="AC53"/>
      <c r="AD53"/>
      <c r="AG53" s="20"/>
    </row>
    <row r="54" spans="1:36" ht="15" x14ac:dyDescent="0.25">
      <c r="T54" s="1"/>
      <c r="U54" s="1"/>
      <c r="V54" s="1"/>
      <c r="Y54" s="1"/>
      <c r="AC54"/>
      <c r="AD54"/>
      <c r="AG54" s="20"/>
    </row>
    <row r="55" spans="1:36" ht="15.75" x14ac:dyDescent="0.25">
      <c r="A55" s="12" t="s">
        <v>136</v>
      </c>
      <c r="B55" s="13"/>
      <c r="C55" s="13"/>
      <c r="D55" s="13"/>
      <c r="E55" s="13"/>
      <c r="F55" s="13"/>
      <c r="T55" s="1"/>
      <c r="U55" s="1"/>
      <c r="V55" s="1"/>
      <c r="Y55" s="1"/>
      <c r="AC55"/>
      <c r="AD55"/>
      <c r="AG55" s="20"/>
    </row>
    <row r="56" spans="1:36" ht="15" x14ac:dyDescent="0.25">
      <c r="B56" s="35"/>
      <c r="T56" s="1"/>
      <c r="U56" s="1"/>
      <c r="V56" s="1"/>
      <c r="Y56" s="1"/>
      <c r="AC56"/>
      <c r="AD56"/>
      <c r="AG56" s="20"/>
    </row>
    <row r="57" spans="1:36" ht="15" x14ac:dyDescent="0.25">
      <c r="A57" s="10" t="s">
        <v>137</v>
      </c>
      <c r="B57" s="35"/>
      <c r="T57" s="1"/>
      <c r="U57" s="1"/>
      <c r="V57" s="1"/>
      <c r="Y57" s="1"/>
      <c r="AC57"/>
      <c r="AD57"/>
      <c r="AG57" s="20"/>
    </row>
    <row r="58" spans="1:36" ht="15" x14ac:dyDescent="0.25">
      <c r="B58" s="35"/>
      <c r="T58" s="1"/>
      <c r="U58" s="1"/>
      <c r="V58" s="1"/>
      <c r="Y58" s="1"/>
      <c r="AC58"/>
      <c r="AD58"/>
      <c r="AG58" s="20"/>
    </row>
    <row r="59" spans="1:36" ht="15" x14ac:dyDescent="0.25">
      <c r="A59" s="86" t="s">
        <v>138</v>
      </c>
      <c r="B59" s="220" t="s">
        <v>139</v>
      </c>
      <c r="C59" s="220"/>
      <c r="D59" s="220"/>
      <c r="E59" s="220"/>
      <c r="F59" s="220"/>
      <c r="T59" s="1"/>
      <c r="U59" s="1"/>
      <c r="V59" s="1"/>
      <c r="Y59" s="1"/>
      <c r="AC59"/>
      <c r="AD59"/>
      <c r="AG59" s="20"/>
    </row>
    <row r="60" spans="1:36" ht="15" x14ac:dyDescent="0.25">
      <c r="A60" s="86" t="s">
        <v>140</v>
      </c>
      <c r="B60" s="220" t="s">
        <v>141</v>
      </c>
      <c r="C60" s="220"/>
      <c r="D60" s="220"/>
      <c r="E60" s="220"/>
      <c r="F60" s="220"/>
      <c r="T60" s="1"/>
      <c r="U60" s="1"/>
      <c r="V60" s="1"/>
      <c r="Y60" s="1"/>
      <c r="AC60"/>
      <c r="AD60"/>
      <c r="AG60" s="20"/>
    </row>
    <row r="61" spans="1:36" ht="15" x14ac:dyDescent="0.25">
      <c r="A61" s="86" t="s">
        <v>142</v>
      </c>
      <c r="B61" s="220" t="s">
        <v>143</v>
      </c>
      <c r="C61" s="220"/>
      <c r="D61" s="220"/>
      <c r="E61" s="220"/>
      <c r="F61" s="220"/>
      <c r="T61" s="1"/>
      <c r="U61" s="1"/>
      <c r="V61" s="1"/>
      <c r="Y61" s="1"/>
      <c r="AC61"/>
      <c r="AD61"/>
      <c r="AG61" s="20"/>
    </row>
    <row r="62" spans="1:36" ht="15" x14ac:dyDescent="0.25">
      <c r="B62" s="220"/>
      <c r="C62" s="220"/>
      <c r="D62" s="220"/>
      <c r="E62" s="220"/>
      <c r="F62" s="220"/>
      <c r="T62" s="1"/>
      <c r="U62" s="1"/>
      <c r="V62" s="1"/>
      <c r="Y62" s="1"/>
      <c r="AC62"/>
      <c r="AD62"/>
      <c r="AG62" s="20"/>
    </row>
    <row r="63" spans="1:36" ht="15.75" x14ac:dyDescent="0.25">
      <c r="A63" s="12" t="s">
        <v>144</v>
      </c>
      <c r="B63" s="13"/>
      <c r="C63" s="13"/>
      <c r="D63" s="13"/>
      <c r="E63" s="13"/>
      <c r="F63" s="13"/>
      <c r="T63" s="1"/>
      <c r="U63" s="1"/>
      <c r="V63" s="1"/>
      <c r="Y63" s="1"/>
      <c r="AC63"/>
      <c r="AD63"/>
      <c r="AG63" s="20"/>
    </row>
    <row r="64" spans="1:36" ht="15" x14ac:dyDescent="0.25">
      <c r="T64" s="1"/>
      <c r="U64" s="1"/>
      <c r="V64" s="1"/>
      <c r="Y64" s="1"/>
      <c r="AC64"/>
      <c r="AD64"/>
      <c r="AG64" s="20"/>
    </row>
    <row r="65" spans="1:33" ht="15" x14ac:dyDescent="0.25">
      <c r="A65" s="10" t="s">
        <v>145</v>
      </c>
      <c r="B65" s="87" t="str">
        <f>Calculator!C18</f>
        <v>Queenstown</v>
      </c>
      <c r="T65" s="1"/>
      <c r="U65" s="1"/>
      <c r="V65" s="1"/>
      <c r="Y65" s="1"/>
      <c r="AC65"/>
      <c r="AD65"/>
      <c r="AG65" s="20"/>
    </row>
    <row r="66" spans="1:33" ht="15" x14ac:dyDescent="0.25">
      <c r="A66" s="10" t="s">
        <v>20</v>
      </c>
      <c r="B66" s="88">
        <f>Calculator!C20</f>
        <v>1156</v>
      </c>
      <c r="J66" s="113"/>
      <c r="T66" s="1"/>
      <c r="U66" s="1"/>
      <c r="V66" s="1"/>
      <c r="Y66" s="1"/>
      <c r="AC66"/>
      <c r="AD66"/>
      <c r="AG66" s="20"/>
    </row>
    <row r="67" spans="1:33" ht="25.5" x14ac:dyDescent="0.25">
      <c r="B67" s="10"/>
      <c r="D67" s="72" t="str">
        <f>B29</f>
        <v>2021/22 Prices</v>
      </c>
      <c r="E67" s="72" t="str">
        <f t="shared" ref="E67:G67" si="7">C29</f>
        <v>2022/23 Prices</v>
      </c>
      <c r="F67" s="72" t="str">
        <f t="shared" si="7"/>
        <v>2023/24 Prices</v>
      </c>
      <c r="G67" s="72" t="str">
        <f t="shared" si="7"/>
        <v>2024/25 Prices</v>
      </c>
      <c r="J67" s="113"/>
      <c r="T67" s="1"/>
      <c r="U67" s="1"/>
      <c r="V67" s="1"/>
      <c r="Y67" s="1"/>
      <c r="AC67"/>
      <c r="AD67"/>
      <c r="AG67" s="20"/>
    </row>
    <row r="68" spans="1:33" ht="15" x14ac:dyDescent="0.25">
      <c r="A68" s="10" t="s">
        <v>126</v>
      </c>
      <c r="B68" s="10"/>
      <c r="D68" s="90">
        <f>VLOOKUP($B$65,$A$34:$M$48,2,FALSE)</f>
        <v>5.95</v>
      </c>
      <c r="E68" s="90">
        <f>VLOOKUP($B$65,$A$34:$M$48,3,FALSE)</f>
        <v>6.21</v>
      </c>
      <c r="F68" s="90">
        <f>VLOOKUP($B$65,$A$34:$M$48,4,FALSE)</f>
        <v>6.36</v>
      </c>
      <c r="G68" s="90">
        <f>VLOOKUP($B$65,$A$34:$M$48,5,FALSE)</f>
        <v>6.47</v>
      </c>
      <c r="T68" s="1"/>
      <c r="U68" s="1"/>
      <c r="V68" s="1"/>
      <c r="Y68" s="1"/>
      <c r="AC68"/>
      <c r="AD68"/>
      <c r="AG68" s="20"/>
    </row>
    <row r="69" spans="1:33" ht="15" x14ac:dyDescent="0.25">
      <c r="A69" s="10" t="s">
        <v>127</v>
      </c>
      <c r="B69" s="10"/>
      <c r="D69" s="90">
        <f>VLOOKUP($B$65,$A$34:$M$48,6,FALSE)</f>
        <v>23.84</v>
      </c>
      <c r="E69" s="90">
        <f>VLOOKUP($B$65,$A$34:$M$48,7,FALSE)</f>
        <v>24.89</v>
      </c>
      <c r="F69" s="90">
        <f>VLOOKUP($B$65,$A$34:$M$48,8,FALSE)</f>
        <v>25.49</v>
      </c>
      <c r="G69" s="90">
        <f>VLOOKUP($B$65,$A$34:$M$48,9,FALSE)</f>
        <v>25.92</v>
      </c>
      <c r="T69" s="1"/>
      <c r="U69" s="1"/>
      <c r="V69" s="1"/>
      <c r="Y69" s="1"/>
      <c r="AC69"/>
      <c r="AD69"/>
      <c r="AG69" s="20"/>
    </row>
    <row r="70" spans="1:33" ht="15" x14ac:dyDescent="0.25">
      <c r="A70" s="10" t="s">
        <v>146</v>
      </c>
      <c r="B70" s="10"/>
      <c r="D70" s="90">
        <f>IF($B$66&gt;30000,VLOOKUP($B$65,$A$34:$M$48,10,FALSE)+VLOOKUP($B$65,$A$34:$Q$48,14,FALSE),VLOOKUP($B$65,$A$34:$M$48,10,FALSE))</f>
        <v>9.5</v>
      </c>
      <c r="E70" s="90">
        <f>IF($B$66&gt;30000,VLOOKUP($B$65,$A$34:$M$48,11,FALSE)+VLOOKUP($B$65,$A$34:$Q$48,15,FALSE),VLOOKUP($B$65,$A$34:$M$48,11,FALSE))</f>
        <v>10.36</v>
      </c>
      <c r="F70" s="90">
        <f>IF($B$66&gt;30000,VLOOKUP($B$65,$A$34:$M$48,12,FALSE)+VLOOKUP($B$65,$A$34:$Q$48,16,FALSE),VLOOKUP($B$65,$A$34:$M$48,12,FALSE))</f>
        <v>13.19</v>
      </c>
      <c r="G70" s="90">
        <f>IF($B$66&gt;30000,VLOOKUP($B$65,$A$34:$M$48,13,FALSE)+VLOOKUP($B$65,$A$34:$Q$48,17,FALSE),VLOOKUP($B$65,$A$34:$M$48,13,FALSE))</f>
        <v>13.89</v>
      </c>
      <c r="T70" s="1"/>
      <c r="U70" s="1"/>
      <c r="V70" s="1"/>
      <c r="Y70" s="1"/>
      <c r="AC70"/>
      <c r="AD70"/>
      <c r="AG70" s="20"/>
    </row>
    <row r="71" spans="1:33" ht="15" x14ac:dyDescent="0.25">
      <c r="B71" s="10"/>
      <c r="T71" s="1"/>
      <c r="U71" s="1"/>
      <c r="V71" s="1"/>
      <c r="Y71" s="1"/>
      <c r="AC71"/>
      <c r="AD71"/>
      <c r="AG71" s="20"/>
    </row>
    <row r="72" spans="1:33" ht="15" x14ac:dyDescent="0.25">
      <c r="T72" s="1"/>
      <c r="U72" s="1"/>
      <c r="V72" s="1"/>
      <c r="Y72" s="1"/>
      <c r="AC72"/>
      <c r="AD72"/>
      <c r="AG72" s="20"/>
    </row>
    <row r="73" spans="1:33" ht="15" x14ac:dyDescent="0.25">
      <c r="T73" s="1"/>
      <c r="U73" s="1"/>
      <c r="V73" s="1"/>
      <c r="Y73" s="1"/>
      <c r="AC73"/>
      <c r="AD73"/>
      <c r="AG73" s="20"/>
    </row>
    <row r="74" spans="1:33" ht="15.75" x14ac:dyDescent="0.25">
      <c r="A74" s="12" t="s">
        <v>147</v>
      </c>
      <c r="B74" s="13"/>
      <c r="C74" s="13"/>
      <c r="D74" s="13"/>
      <c r="E74" s="13"/>
      <c r="F74" s="13"/>
      <c r="T74" s="1"/>
      <c r="U74" s="1"/>
      <c r="V74" s="1"/>
      <c r="Y74" s="1"/>
      <c r="AC74"/>
      <c r="AD74"/>
      <c r="AG74" s="20"/>
    </row>
    <row r="75" spans="1:33" ht="15" x14ac:dyDescent="0.25">
      <c r="T75" s="1"/>
      <c r="U75" s="1"/>
      <c r="V75" s="1"/>
      <c r="Y75" s="1"/>
      <c r="AC75"/>
      <c r="AD75"/>
      <c r="AG75" s="20"/>
    </row>
    <row r="76" spans="1:33" ht="25.5" x14ac:dyDescent="0.25">
      <c r="C76" s="72" t="s">
        <v>148</v>
      </c>
      <c r="D76" s="72" t="str">
        <f>B29</f>
        <v>2021/22 Prices</v>
      </c>
      <c r="E76" s="72" t="str">
        <f t="shared" ref="E76:G76" si="8">C29</f>
        <v>2022/23 Prices</v>
      </c>
      <c r="F76" s="72" t="str">
        <f t="shared" si="8"/>
        <v>2023/24 Prices</v>
      </c>
      <c r="G76" s="72" t="str">
        <f t="shared" si="8"/>
        <v>2024/25 Prices</v>
      </c>
      <c r="T76" s="1"/>
      <c r="U76" s="1"/>
      <c r="V76" s="1"/>
      <c r="Y76" s="1"/>
      <c r="AC76"/>
      <c r="AD76"/>
      <c r="AG76" s="20"/>
    </row>
    <row r="77" spans="1:33" ht="15" x14ac:dyDescent="0.25">
      <c r="A77" s="86" t="s">
        <v>138</v>
      </c>
      <c r="B77" s="22" t="s">
        <v>149</v>
      </c>
      <c r="C77" s="221" t="s">
        <v>150</v>
      </c>
      <c r="D77" s="91">
        <f>($B$66/5000)*D69</f>
        <v>5.5118079999999994</v>
      </c>
      <c r="E77" s="91">
        <f t="shared" ref="E77:G77" si="9">($B$66/5000)*E69</f>
        <v>5.7545679999999999</v>
      </c>
      <c r="F77" s="91">
        <f t="shared" si="9"/>
        <v>5.8932879999999992</v>
      </c>
      <c r="G77" s="91">
        <f t="shared" si="9"/>
        <v>5.9927039999999998</v>
      </c>
      <c r="T77" s="1"/>
      <c r="U77" s="1"/>
      <c r="V77" s="1"/>
      <c r="Y77" s="1"/>
      <c r="AC77"/>
      <c r="AD77"/>
      <c r="AG77" s="20"/>
    </row>
    <row r="78" spans="1:33" ht="15" x14ac:dyDescent="0.25">
      <c r="A78" s="86" t="s">
        <v>140</v>
      </c>
      <c r="B78" s="22" t="s">
        <v>151</v>
      </c>
      <c r="C78" s="222"/>
      <c r="D78" s="91">
        <f>((($B$66/1000)-5)*D70)+D69</f>
        <v>-12.678000000000001</v>
      </c>
      <c r="E78" s="91">
        <f t="shared" ref="E78:G78" si="10">((($B$66/1000)-5)*E70)+E69</f>
        <v>-14.933840000000004</v>
      </c>
      <c r="F78" s="91">
        <f t="shared" si="10"/>
        <v>-25.21236</v>
      </c>
      <c r="G78" s="91">
        <f t="shared" si="10"/>
        <v>-27.473160000000007</v>
      </c>
      <c r="T78" s="1"/>
      <c r="U78" s="1"/>
      <c r="V78" s="1"/>
      <c r="Y78" s="1"/>
      <c r="AC78"/>
      <c r="AD78"/>
      <c r="AG78" s="20"/>
    </row>
    <row r="79" spans="1:33" ht="15" x14ac:dyDescent="0.25">
      <c r="A79" s="86" t="s">
        <v>142</v>
      </c>
      <c r="B79" s="22" t="s">
        <v>152</v>
      </c>
      <c r="C79" s="223"/>
      <c r="D79" s="91" t="e">
        <f>(D70*(5*(SQRT(($B$66/1000)-5))))+D69</f>
        <v>#NUM!</v>
      </c>
      <c r="E79" s="91" t="e">
        <f>(E70*(5*(SQRT(($B$66/1000)-5))))+E69</f>
        <v>#NUM!</v>
      </c>
      <c r="F79" s="91" t="e">
        <f t="shared" ref="F79:G79" si="11">(F70*(5*(SQRT(($B$66/1000)-5))))+F69</f>
        <v>#NUM!</v>
      </c>
      <c r="G79" s="91" t="e">
        <f t="shared" si="11"/>
        <v>#NUM!</v>
      </c>
      <c r="T79" s="1"/>
      <c r="U79" s="1"/>
      <c r="V79" s="1"/>
      <c r="Y79" s="1"/>
      <c r="AC79"/>
      <c r="AD79"/>
      <c r="AG79" s="20"/>
    </row>
    <row r="80" spans="1:33" ht="15" x14ac:dyDescent="0.25">
      <c r="T80" s="1"/>
      <c r="U80" s="1"/>
      <c r="V80" s="1"/>
      <c r="Y80" s="1"/>
      <c r="AC80"/>
      <c r="AD80"/>
      <c r="AG80" s="20"/>
    </row>
    <row r="81" spans="1:33" ht="15" x14ac:dyDescent="0.25">
      <c r="A81" s="10" t="s">
        <v>153</v>
      </c>
      <c r="B81" s="22" t="str">
        <f>IF(B66&gt;30000,"C",IF(B66&lt;5000,"A","B"))</f>
        <v>A</v>
      </c>
      <c r="C81" s="89">
        <f>ROUND((HLOOKUP(B65,$L$20:$AC$21,2,FALSE)),2)</f>
        <v>6.15</v>
      </c>
      <c r="D81" s="89">
        <f>ROUND((VLOOKUP($B$81,$B$77:$G$79,3,FALSE)),2)</f>
        <v>5.51</v>
      </c>
      <c r="E81" s="89">
        <f>ROUND((VLOOKUP($B$81,$B$77:$G$79,4,FALSE)),2)</f>
        <v>5.75</v>
      </c>
      <c r="F81" s="89">
        <f>ROUND((VLOOKUP($B$81,$B$77:$G$79,5,FALSE)),2)</f>
        <v>5.89</v>
      </c>
      <c r="G81" s="89">
        <f>ROUND((VLOOKUP($B$81,$B$77:$G$79,6,FALSE)),2)</f>
        <v>5.99</v>
      </c>
      <c r="T81" s="1"/>
      <c r="U81" s="1"/>
      <c r="V81" s="1"/>
      <c r="Y81" s="1"/>
      <c r="AC81"/>
      <c r="AD81"/>
      <c r="AG81" s="20"/>
    </row>
    <row r="82" spans="1:33" ht="15" x14ac:dyDescent="0.25">
      <c r="T82" s="1"/>
      <c r="U82" s="1"/>
      <c r="V82" s="1"/>
      <c r="Y82" s="1"/>
      <c r="AC82"/>
      <c r="AD82"/>
      <c r="AG82" s="20"/>
    </row>
    <row r="83" spans="1:33" ht="15" x14ac:dyDescent="0.25">
      <c r="A83" s="92" t="s">
        <v>154</v>
      </c>
      <c r="B83" s="93"/>
      <c r="C83" s="94">
        <f>C81</f>
        <v>6.15</v>
      </c>
      <c r="D83" s="94">
        <f>MAX(D68,D81)</f>
        <v>5.95</v>
      </c>
      <c r="E83" s="94">
        <f t="shared" ref="E83:F83" si="12">MAX(E68,E81)</f>
        <v>6.21</v>
      </c>
      <c r="F83" s="94">
        <f t="shared" si="12"/>
        <v>6.36</v>
      </c>
      <c r="G83" s="94">
        <f>MAX(G68,G81)</f>
        <v>6.47</v>
      </c>
      <c r="T83" s="1"/>
      <c r="U83" s="1"/>
      <c r="V83" s="1"/>
      <c r="Y83" s="1"/>
      <c r="AC83"/>
      <c r="AD83"/>
      <c r="AG83" s="20"/>
    </row>
    <row r="84" spans="1:33" ht="15" x14ac:dyDescent="0.25">
      <c r="T84" s="1"/>
      <c r="U84" s="1"/>
      <c r="V84" s="1"/>
      <c r="Y84" s="1"/>
      <c r="AC84"/>
      <c r="AD84"/>
      <c r="AG84" s="20"/>
    </row>
    <row r="85" spans="1:33" ht="15" x14ac:dyDescent="0.25">
      <c r="E85" s="1" t="s">
        <v>165</v>
      </c>
      <c r="T85" s="1"/>
      <c r="U85" s="1"/>
      <c r="V85" s="1"/>
      <c r="Y85" s="1"/>
      <c r="AC85"/>
      <c r="AD85"/>
      <c r="AG85" s="20"/>
    </row>
    <row r="86" spans="1:33" ht="15" x14ac:dyDescent="0.25">
      <c r="T86" s="1"/>
      <c r="U86" s="1"/>
      <c r="V86" s="1"/>
      <c r="Y86" s="1"/>
      <c r="AC86"/>
      <c r="AD86"/>
      <c r="AG86" s="20"/>
    </row>
    <row r="87" spans="1:33" x14ac:dyDescent="0.2">
      <c r="A87" s="26"/>
      <c r="C87" s="8"/>
      <c r="D87" s="8"/>
      <c r="E87" s="8"/>
      <c r="F87" s="8"/>
      <c r="S87" s="20"/>
      <c r="AF87" s="1"/>
    </row>
    <row r="88" spans="1:33" x14ac:dyDescent="0.2">
      <c r="A88" s="26"/>
      <c r="C88" s="8"/>
      <c r="D88" s="8"/>
      <c r="E88" s="8"/>
      <c r="F88" s="8"/>
      <c r="S88" s="20"/>
      <c r="AF88" s="1"/>
    </row>
    <row r="89" spans="1:33" x14ac:dyDescent="0.2">
      <c r="A89" s="26"/>
      <c r="C89" s="8"/>
      <c r="D89" s="8"/>
      <c r="E89" s="8"/>
      <c r="F89" s="8"/>
      <c r="S89" s="20"/>
      <c r="AF89" s="1"/>
    </row>
    <row r="90" spans="1:33" x14ac:dyDescent="0.2">
      <c r="A90" s="26"/>
      <c r="C90" s="8"/>
      <c r="D90" s="8"/>
      <c r="E90" s="8"/>
      <c r="F90" s="8"/>
      <c r="S90" s="20"/>
      <c r="AF90" s="1"/>
    </row>
    <row r="91" spans="1:33" x14ac:dyDescent="0.2">
      <c r="A91" s="26"/>
      <c r="C91" s="8"/>
      <c r="D91" s="8"/>
      <c r="E91" s="8"/>
      <c r="F91" s="8"/>
      <c r="S91" s="20"/>
      <c r="AF91" s="1"/>
    </row>
    <row r="92" spans="1:33" x14ac:dyDescent="0.2">
      <c r="A92" s="26"/>
      <c r="C92" s="8"/>
      <c r="D92" s="8"/>
      <c r="E92" s="8"/>
      <c r="F92" s="8"/>
      <c r="S92" s="20"/>
      <c r="AF92" s="1"/>
    </row>
    <row r="93" spans="1:33" x14ac:dyDescent="0.2">
      <c r="A93" s="26"/>
      <c r="C93" s="8"/>
      <c r="D93" s="8"/>
      <c r="E93" s="8"/>
      <c r="F93" s="8"/>
      <c r="S93" s="20"/>
      <c r="AF93" s="1"/>
    </row>
    <row r="94" spans="1:33" x14ac:dyDescent="0.2">
      <c r="A94" s="26"/>
      <c r="C94" s="8"/>
      <c r="D94" s="8"/>
      <c r="E94" s="8"/>
      <c r="F94" s="8"/>
      <c r="S94" s="20"/>
      <c r="AF94" s="1"/>
    </row>
    <row r="95" spans="1:33" x14ac:dyDescent="0.2">
      <c r="A95" s="26"/>
      <c r="C95" s="8"/>
      <c r="D95" s="8"/>
      <c r="E95" s="8"/>
      <c r="F95" s="8"/>
      <c r="S95" s="20"/>
      <c r="AF95" s="1"/>
    </row>
    <row r="96" spans="1:33" x14ac:dyDescent="0.2">
      <c r="A96" s="26"/>
      <c r="C96" s="8"/>
      <c r="D96" s="8"/>
      <c r="E96" s="8"/>
      <c r="F96" s="8"/>
      <c r="S96" s="20"/>
      <c r="AF96" s="1"/>
    </row>
    <row r="97" spans="1:32" x14ac:dyDescent="0.2">
      <c r="A97" s="26"/>
      <c r="C97" s="8"/>
      <c r="D97" s="8"/>
      <c r="E97" s="8"/>
      <c r="F97" s="8"/>
      <c r="S97" s="20"/>
      <c r="AF97" s="1"/>
    </row>
    <row r="98" spans="1:32" x14ac:dyDescent="0.2">
      <c r="A98" s="26"/>
      <c r="C98" s="8"/>
      <c r="D98" s="8"/>
      <c r="E98" s="8"/>
      <c r="F98" s="8"/>
      <c r="S98" s="20"/>
      <c r="AF98" s="1"/>
    </row>
    <row r="99" spans="1:32" x14ac:dyDescent="0.2">
      <c r="A99" s="26"/>
      <c r="C99" s="8"/>
      <c r="D99" s="8"/>
      <c r="E99" s="8"/>
      <c r="F99" s="8"/>
      <c r="S99" s="20"/>
      <c r="AF99" s="1"/>
    </row>
    <row r="100" spans="1:32" x14ac:dyDescent="0.2">
      <c r="A100" s="26"/>
      <c r="C100" s="8"/>
      <c r="D100" s="8"/>
      <c r="E100" s="8"/>
      <c r="F100" s="8"/>
      <c r="S100" s="20"/>
      <c r="AF100" s="1"/>
    </row>
    <row r="101" spans="1:32" x14ac:dyDescent="0.2">
      <c r="A101" s="26"/>
      <c r="C101" s="8"/>
      <c r="D101" s="8"/>
      <c r="E101" s="8"/>
      <c r="F101" s="8"/>
      <c r="S101" s="20"/>
      <c r="AF101" s="1"/>
    </row>
    <row r="102" spans="1:32" x14ac:dyDescent="0.2">
      <c r="A102" s="26"/>
      <c r="C102" s="8"/>
      <c r="D102" s="8"/>
      <c r="E102" s="8"/>
      <c r="F102" s="8"/>
      <c r="S102" s="20"/>
      <c r="AF102" s="1"/>
    </row>
    <row r="103" spans="1:32" x14ac:dyDescent="0.2">
      <c r="A103" s="26"/>
      <c r="C103" s="8"/>
      <c r="D103" s="8"/>
      <c r="E103" s="8"/>
      <c r="F103" s="8"/>
      <c r="S103" s="20"/>
      <c r="AF103" s="1"/>
    </row>
    <row r="104" spans="1:32" x14ac:dyDescent="0.2">
      <c r="A104" s="26"/>
      <c r="C104" s="8"/>
      <c r="D104" s="8"/>
      <c r="E104" s="8"/>
      <c r="F104" s="8"/>
      <c r="S104" s="20"/>
      <c r="AF104" s="1"/>
    </row>
    <row r="105" spans="1:32" x14ac:dyDescent="0.2">
      <c r="A105" s="26"/>
      <c r="C105" s="8"/>
      <c r="D105" s="8"/>
      <c r="E105" s="8"/>
      <c r="F105" s="8"/>
      <c r="S105" s="20"/>
      <c r="AF105" s="1"/>
    </row>
    <row r="106" spans="1:32" x14ac:dyDescent="0.2">
      <c r="A106" s="26"/>
      <c r="C106" s="8"/>
      <c r="D106" s="8"/>
      <c r="E106" s="8"/>
      <c r="F106" s="8"/>
      <c r="S106" s="20"/>
      <c r="AF106" s="1"/>
    </row>
    <row r="107" spans="1:32" x14ac:dyDescent="0.2">
      <c r="A107" s="26"/>
      <c r="C107" s="8"/>
      <c r="D107" s="8"/>
      <c r="E107" s="8"/>
      <c r="F107" s="8"/>
      <c r="S107" s="20"/>
      <c r="AF107" s="1"/>
    </row>
    <row r="108" spans="1:32" x14ac:dyDescent="0.2">
      <c r="A108" s="26"/>
      <c r="C108" s="8"/>
      <c r="D108" s="8"/>
      <c r="E108" s="8"/>
      <c r="F108" s="8"/>
      <c r="S108" s="20"/>
      <c r="AF108" s="1"/>
    </row>
    <row r="109" spans="1:32" x14ac:dyDescent="0.2">
      <c r="A109" s="26"/>
      <c r="C109" s="8"/>
      <c r="D109" s="8"/>
      <c r="E109" s="8"/>
      <c r="F109" s="8"/>
      <c r="S109" s="20"/>
      <c r="AF109" s="1"/>
    </row>
    <row r="110" spans="1:32" x14ac:dyDescent="0.2">
      <c r="A110" s="26"/>
      <c r="C110" s="8"/>
      <c r="D110" s="8"/>
      <c r="E110" s="8"/>
      <c r="F110" s="8"/>
      <c r="S110" s="20"/>
      <c r="AF110" s="1"/>
    </row>
    <row r="111" spans="1:32" x14ac:dyDescent="0.2">
      <c r="A111" s="26"/>
      <c r="C111" s="8"/>
      <c r="D111" s="8"/>
      <c r="E111" s="8"/>
      <c r="F111" s="8"/>
      <c r="S111" s="20"/>
      <c r="AF111" s="1"/>
    </row>
    <row r="112" spans="1:32" x14ac:dyDescent="0.2">
      <c r="A112" s="26"/>
      <c r="C112" s="8"/>
      <c r="D112" s="8"/>
      <c r="E112" s="8"/>
      <c r="F112" s="8"/>
      <c r="S112" s="20"/>
      <c r="AF112" s="1"/>
    </row>
    <row r="113" spans="1:32" x14ac:dyDescent="0.2">
      <c r="A113" s="26"/>
      <c r="C113" s="8"/>
      <c r="D113" s="8"/>
      <c r="E113" s="8"/>
      <c r="F113" s="8"/>
      <c r="S113" s="20"/>
      <c r="AF113" s="1"/>
    </row>
    <row r="114" spans="1:32" x14ac:dyDescent="0.2">
      <c r="A114" s="26"/>
      <c r="C114" s="8"/>
      <c r="D114" s="8"/>
      <c r="E114" s="8"/>
      <c r="F114" s="8"/>
      <c r="S114" s="20"/>
      <c r="AF114" s="1"/>
    </row>
    <row r="115" spans="1:32" x14ac:dyDescent="0.2">
      <c r="A115" s="26"/>
      <c r="C115" s="8"/>
      <c r="D115" s="8"/>
      <c r="E115" s="8"/>
      <c r="F115" s="8"/>
      <c r="S115" s="20"/>
      <c r="AF115" s="1"/>
    </row>
    <row r="116" spans="1:32" x14ac:dyDescent="0.2">
      <c r="A116" s="26"/>
      <c r="C116" s="8"/>
      <c r="D116" s="8"/>
      <c r="E116" s="8"/>
      <c r="F116" s="8"/>
      <c r="S116" s="20"/>
      <c r="AF116" s="1"/>
    </row>
    <row r="117" spans="1:32" x14ac:dyDescent="0.2">
      <c r="A117" s="26"/>
      <c r="C117" s="8"/>
      <c r="D117" s="8"/>
      <c r="E117" s="8"/>
      <c r="F117" s="8"/>
      <c r="S117" s="20"/>
      <c r="AF117" s="1"/>
    </row>
    <row r="118" spans="1:32" x14ac:dyDescent="0.2">
      <c r="A118" s="26"/>
      <c r="C118" s="8"/>
      <c r="D118" s="8"/>
      <c r="E118" s="8"/>
      <c r="F118" s="8"/>
      <c r="S118" s="20"/>
      <c r="AF118" s="1"/>
    </row>
    <row r="119" spans="1:32" x14ac:dyDescent="0.2">
      <c r="A119" s="26"/>
      <c r="C119" s="8"/>
      <c r="D119" s="8"/>
      <c r="E119" s="8"/>
      <c r="F119" s="8"/>
      <c r="S119" s="20"/>
      <c r="AF119" s="1"/>
    </row>
    <row r="120" spans="1:32" x14ac:dyDescent="0.2">
      <c r="A120" s="26"/>
      <c r="C120" s="8"/>
      <c r="D120" s="8"/>
      <c r="E120" s="8"/>
      <c r="F120" s="8"/>
      <c r="S120" s="20"/>
      <c r="AF120" s="1"/>
    </row>
    <row r="121" spans="1:32" x14ac:dyDescent="0.2">
      <c r="A121" s="26"/>
      <c r="C121" s="8"/>
      <c r="D121" s="8"/>
      <c r="E121" s="8"/>
      <c r="F121" s="8"/>
      <c r="S121" s="20"/>
      <c r="AF121" s="1"/>
    </row>
    <row r="122" spans="1:32" x14ac:dyDescent="0.2">
      <c r="A122" s="26"/>
      <c r="C122" s="8"/>
      <c r="D122" s="8"/>
      <c r="E122" s="8"/>
      <c r="F122" s="8"/>
      <c r="S122" s="20"/>
      <c r="AF122" s="1"/>
    </row>
    <row r="123" spans="1:32" x14ac:dyDescent="0.2">
      <c r="A123" s="26"/>
      <c r="C123" s="8"/>
      <c r="D123" s="8"/>
      <c r="E123" s="8"/>
      <c r="F123" s="8"/>
      <c r="S123" s="20"/>
      <c r="AF123" s="1"/>
    </row>
    <row r="124" spans="1:32" x14ac:dyDescent="0.2">
      <c r="A124" s="26"/>
      <c r="C124" s="8"/>
      <c r="D124" s="8"/>
      <c r="E124" s="8"/>
      <c r="F124" s="8"/>
      <c r="S124" s="20"/>
      <c r="AF124" s="1"/>
    </row>
    <row r="125" spans="1:32" x14ac:dyDescent="0.2">
      <c r="A125" s="26"/>
      <c r="C125" s="8"/>
      <c r="D125" s="8"/>
      <c r="E125" s="8"/>
      <c r="F125" s="8"/>
      <c r="S125" s="20"/>
      <c r="AF125" s="1"/>
    </row>
    <row r="126" spans="1:32" x14ac:dyDescent="0.2">
      <c r="A126" s="26"/>
      <c r="C126" s="8"/>
      <c r="D126" s="8"/>
      <c r="E126" s="8"/>
      <c r="F126" s="8"/>
      <c r="S126" s="20"/>
      <c r="AF126" s="1"/>
    </row>
    <row r="127" spans="1:32" x14ac:dyDescent="0.2">
      <c r="A127" s="26"/>
      <c r="C127" s="8"/>
      <c r="D127" s="8"/>
      <c r="E127" s="8"/>
      <c r="F127" s="8"/>
      <c r="S127" s="20"/>
      <c r="AF127" s="1"/>
    </row>
    <row r="128" spans="1:32" x14ac:dyDescent="0.2">
      <c r="A128" s="26"/>
      <c r="C128" s="8"/>
      <c r="D128" s="8"/>
      <c r="E128" s="8"/>
      <c r="F128" s="8"/>
      <c r="S128" s="20"/>
      <c r="AF128" s="1"/>
    </row>
    <row r="129" spans="1:32" x14ac:dyDescent="0.2">
      <c r="A129" s="26"/>
      <c r="C129" s="8"/>
      <c r="D129" s="8"/>
      <c r="E129" s="8"/>
      <c r="F129" s="8"/>
      <c r="S129" s="20"/>
      <c r="AF129" s="1"/>
    </row>
    <row r="130" spans="1:32" x14ac:dyDescent="0.2">
      <c r="A130" s="26"/>
      <c r="C130" s="8"/>
      <c r="D130" s="8"/>
      <c r="E130" s="8"/>
      <c r="F130" s="8"/>
      <c r="S130" s="20"/>
      <c r="AF130" s="1"/>
    </row>
    <row r="131" spans="1:32" x14ac:dyDescent="0.2">
      <c r="A131" s="26"/>
      <c r="C131" s="8"/>
      <c r="D131" s="8"/>
      <c r="E131" s="8"/>
      <c r="F131" s="8"/>
      <c r="S131" s="20"/>
      <c r="AF131" s="1"/>
    </row>
    <row r="132" spans="1:32" x14ac:dyDescent="0.2">
      <c r="A132" s="26"/>
      <c r="C132" s="8"/>
      <c r="D132" s="8"/>
      <c r="E132" s="8"/>
      <c r="F132" s="8"/>
      <c r="S132" s="20"/>
      <c r="AF132" s="1"/>
    </row>
    <row r="133" spans="1:32" x14ac:dyDescent="0.2">
      <c r="A133" s="26"/>
      <c r="C133" s="8"/>
      <c r="D133" s="8"/>
      <c r="E133" s="8"/>
      <c r="F133" s="8"/>
      <c r="S133" s="20"/>
      <c r="AF133" s="1"/>
    </row>
    <row r="134" spans="1:32" x14ac:dyDescent="0.2">
      <c r="A134" s="26"/>
      <c r="C134" s="8"/>
      <c r="D134" s="8"/>
      <c r="E134" s="8"/>
      <c r="F134" s="8"/>
      <c r="S134" s="20"/>
      <c r="AF134" s="1"/>
    </row>
    <row r="135" spans="1:32" x14ac:dyDescent="0.2">
      <c r="A135" s="26"/>
      <c r="C135" s="8"/>
      <c r="D135" s="8"/>
      <c r="E135" s="8"/>
      <c r="F135" s="8"/>
      <c r="S135" s="20"/>
      <c r="AF135" s="1"/>
    </row>
    <row r="136" spans="1:32" x14ac:dyDescent="0.2">
      <c r="A136" s="26"/>
      <c r="C136" s="8"/>
      <c r="D136" s="8"/>
      <c r="E136" s="8"/>
      <c r="F136" s="8"/>
      <c r="S136" s="20"/>
      <c r="AF136" s="1"/>
    </row>
    <row r="137" spans="1:32" x14ac:dyDescent="0.2">
      <c r="A137" s="26"/>
      <c r="C137" s="8"/>
      <c r="D137" s="8"/>
      <c r="E137" s="8"/>
      <c r="F137" s="8"/>
      <c r="S137" s="20"/>
      <c r="AF137" s="1"/>
    </row>
    <row r="138" spans="1:32" x14ac:dyDescent="0.2">
      <c r="A138" s="26"/>
      <c r="C138" s="8"/>
      <c r="D138" s="8"/>
      <c r="E138" s="8"/>
      <c r="F138" s="8"/>
      <c r="S138" s="20"/>
      <c r="AF138" s="1"/>
    </row>
    <row r="139" spans="1:32" x14ac:dyDescent="0.2">
      <c r="A139" s="26"/>
      <c r="C139" s="8"/>
      <c r="D139" s="8"/>
      <c r="E139" s="8"/>
      <c r="F139" s="8"/>
      <c r="S139" s="20"/>
      <c r="AF139" s="1"/>
    </row>
    <row r="140" spans="1:32" x14ac:dyDescent="0.2">
      <c r="A140" s="26"/>
      <c r="C140" s="8"/>
      <c r="D140" s="8"/>
      <c r="E140" s="8"/>
      <c r="F140" s="8"/>
      <c r="S140" s="20"/>
      <c r="AF140" s="1"/>
    </row>
    <row r="141" spans="1:32" x14ac:dyDescent="0.2">
      <c r="A141" s="26"/>
      <c r="C141" s="8"/>
      <c r="D141" s="8"/>
      <c r="E141" s="8"/>
      <c r="F141" s="8"/>
      <c r="S141" s="20"/>
      <c r="AF141" s="1"/>
    </row>
    <row r="142" spans="1:32" x14ac:dyDescent="0.2">
      <c r="A142" s="26"/>
      <c r="C142" s="8"/>
      <c r="D142" s="8"/>
      <c r="E142" s="8"/>
      <c r="F142" s="8"/>
      <c r="S142" s="20"/>
      <c r="AF142" s="1"/>
    </row>
    <row r="143" spans="1:32" x14ac:dyDescent="0.2">
      <c r="A143" s="26"/>
      <c r="C143" s="8"/>
      <c r="D143" s="8"/>
      <c r="E143" s="8"/>
      <c r="F143" s="8"/>
      <c r="S143" s="20"/>
      <c r="AF143" s="1"/>
    </row>
    <row r="144" spans="1:32" x14ac:dyDescent="0.2">
      <c r="A144" s="26"/>
      <c r="C144" s="8"/>
      <c r="D144" s="8"/>
      <c r="E144" s="8"/>
      <c r="F144" s="8"/>
      <c r="S144" s="20"/>
      <c r="AF144" s="1"/>
    </row>
    <row r="145" spans="1:32" x14ac:dyDescent="0.2">
      <c r="A145" s="26"/>
      <c r="C145" s="8"/>
      <c r="D145" s="8"/>
      <c r="E145" s="8"/>
      <c r="F145" s="8"/>
      <c r="S145" s="20"/>
      <c r="AF145" s="1"/>
    </row>
    <row r="146" spans="1:32" x14ac:dyDescent="0.2">
      <c r="A146" s="26"/>
      <c r="C146" s="8"/>
      <c r="D146" s="8"/>
      <c r="E146" s="8"/>
      <c r="F146" s="8"/>
      <c r="S146" s="20"/>
      <c r="AF146" s="1"/>
    </row>
    <row r="147" spans="1:32" x14ac:dyDescent="0.2">
      <c r="A147" s="26"/>
      <c r="C147" s="8"/>
      <c r="D147" s="8"/>
      <c r="E147" s="8"/>
      <c r="F147" s="8"/>
      <c r="S147" s="20"/>
      <c r="AF147" s="1"/>
    </row>
    <row r="148" spans="1:32" x14ac:dyDescent="0.2">
      <c r="A148" s="26"/>
      <c r="C148" s="8"/>
      <c r="D148" s="8"/>
      <c r="E148" s="8"/>
      <c r="F148" s="8"/>
      <c r="S148" s="20"/>
      <c r="AF148" s="1"/>
    </row>
    <row r="149" spans="1:32" x14ac:dyDescent="0.2">
      <c r="A149" s="26"/>
      <c r="C149" s="8"/>
      <c r="D149" s="8"/>
      <c r="E149" s="8"/>
      <c r="F149" s="8"/>
      <c r="S149" s="20"/>
      <c r="AF149" s="1"/>
    </row>
    <row r="150" spans="1:32" x14ac:dyDescent="0.2">
      <c r="A150" s="26"/>
      <c r="C150" s="8"/>
      <c r="D150" s="8"/>
      <c r="E150" s="8"/>
      <c r="F150" s="8"/>
      <c r="S150" s="20"/>
      <c r="AF150" s="1"/>
    </row>
    <row r="151" spans="1:32" x14ac:dyDescent="0.2">
      <c r="A151" s="26"/>
      <c r="C151" s="8"/>
      <c r="D151" s="8"/>
      <c r="E151" s="8"/>
      <c r="F151" s="8"/>
      <c r="S151" s="20"/>
      <c r="AF151" s="1"/>
    </row>
    <row r="152" spans="1:32" x14ac:dyDescent="0.2">
      <c r="A152" s="26"/>
      <c r="C152" s="8"/>
      <c r="D152" s="8"/>
      <c r="E152" s="8"/>
      <c r="F152" s="8"/>
      <c r="S152" s="20"/>
      <c r="AF152" s="1"/>
    </row>
    <row r="153" spans="1:32" x14ac:dyDescent="0.2">
      <c r="A153" s="26"/>
      <c r="C153" s="8"/>
      <c r="D153" s="8"/>
      <c r="E153" s="8"/>
      <c r="F153" s="8"/>
      <c r="S153" s="20"/>
      <c r="AF153" s="1"/>
    </row>
    <row r="154" spans="1:32" x14ac:dyDescent="0.2">
      <c r="A154" s="26"/>
      <c r="C154" s="8"/>
      <c r="D154" s="8"/>
      <c r="E154" s="8"/>
      <c r="F154" s="8"/>
      <c r="S154" s="20"/>
      <c r="AF154" s="1"/>
    </row>
    <row r="155" spans="1:32" x14ac:dyDescent="0.2">
      <c r="A155" s="26"/>
      <c r="C155" s="8"/>
      <c r="D155" s="8"/>
      <c r="E155" s="8"/>
      <c r="F155" s="8"/>
      <c r="S155" s="20"/>
      <c r="AF155" s="1"/>
    </row>
    <row r="156" spans="1:32" x14ac:dyDescent="0.2">
      <c r="A156" s="26"/>
      <c r="C156" s="8"/>
      <c r="D156" s="8"/>
      <c r="E156" s="8"/>
      <c r="F156" s="8"/>
      <c r="S156" s="20"/>
      <c r="AF156" s="1"/>
    </row>
    <row r="157" spans="1:32" x14ac:dyDescent="0.2">
      <c r="A157" s="26"/>
      <c r="C157" s="8"/>
      <c r="D157" s="8"/>
      <c r="E157" s="8"/>
      <c r="F157" s="8"/>
      <c r="S157" s="20"/>
      <c r="AF157" s="1"/>
    </row>
    <row r="158" spans="1:32" x14ac:dyDescent="0.2">
      <c r="A158" s="26"/>
      <c r="C158" s="8"/>
      <c r="D158" s="8"/>
      <c r="E158" s="8"/>
      <c r="F158" s="8"/>
      <c r="S158" s="20"/>
      <c r="AF158" s="1"/>
    </row>
    <row r="159" spans="1:32" x14ac:dyDescent="0.2">
      <c r="A159" s="26"/>
      <c r="C159" s="8"/>
      <c r="D159" s="8"/>
      <c r="E159" s="8"/>
      <c r="F159" s="8"/>
      <c r="S159" s="20"/>
      <c r="AF159" s="1"/>
    </row>
    <row r="160" spans="1:32" x14ac:dyDescent="0.2">
      <c r="A160" s="26"/>
      <c r="C160" s="8"/>
      <c r="D160" s="8"/>
      <c r="E160" s="8"/>
      <c r="F160" s="8"/>
      <c r="S160" s="20"/>
      <c r="AF160" s="1"/>
    </row>
    <row r="161" spans="1:32" x14ac:dyDescent="0.2">
      <c r="A161" s="26"/>
      <c r="C161" s="8"/>
      <c r="D161" s="8"/>
      <c r="E161" s="8"/>
      <c r="F161" s="8"/>
      <c r="S161" s="20"/>
      <c r="AF161" s="1"/>
    </row>
    <row r="162" spans="1:32" x14ac:dyDescent="0.2">
      <c r="A162" s="26"/>
      <c r="C162" s="8"/>
      <c r="D162" s="8"/>
      <c r="E162" s="8"/>
      <c r="F162" s="8"/>
      <c r="S162" s="20"/>
      <c r="AF162" s="1"/>
    </row>
    <row r="163" spans="1:32" x14ac:dyDescent="0.2">
      <c r="A163" s="26"/>
      <c r="C163" s="8"/>
      <c r="D163" s="8"/>
      <c r="E163" s="8"/>
      <c r="F163" s="8"/>
      <c r="S163" s="20"/>
      <c r="AF163" s="1"/>
    </row>
    <row r="164" spans="1:32" x14ac:dyDescent="0.2">
      <c r="A164" s="26"/>
      <c r="C164" s="8"/>
      <c r="D164" s="8"/>
      <c r="E164" s="8"/>
      <c r="F164" s="8"/>
      <c r="S164" s="20"/>
      <c r="AF164" s="1"/>
    </row>
    <row r="165" spans="1:32" x14ac:dyDescent="0.2">
      <c r="A165" s="26"/>
      <c r="C165" s="8"/>
      <c r="D165" s="8"/>
      <c r="E165" s="8"/>
      <c r="F165" s="8"/>
      <c r="S165" s="20"/>
      <c r="AF165" s="1"/>
    </row>
    <row r="166" spans="1:32" x14ac:dyDescent="0.2">
      <c r="A166" s="26"/>
      <c r="C166" s="8"/>
      <c r="D166" s="8"/>
      <c r="E166" s="8"/>
      <c r="F166" s="8"/>
      <c r="S166" s="20"/>
      <c r="AF166" s="1"/>
    </row>
    <row r="167" spans="1:32" x14ac:dyDescent="0.2">
      <c r="A167" s="26"/>
      <c r="C167" s="8"/>
      <c r="D167" s="8"/>
      <c r="E167" s="8"/>
      <c r="F167" s="8"/>
      <c r="S167" s="20"/>
      <c r="AF167" s="1"/>
    </row>
    <row r="168" spans="1:32" x14ac:dyDescent="0.2">
      <c r="A168" s="26"/>
      <c r="C168" s="8"/>
      <c r="D168" s="8"/>
      <c r="E168" s="8"/>
      <c r="F168" s="8"/>
      <c r="S168" s="20"/>
      <c r="AF168" s="1"/>
    </row>
    <row r="169" spans="1:32" x14ac:dyDescent="0.2">
      <c r="A169" s="26"/>
      <c r="C169" s="8"/>
      <c r="D169" s="8"/>
      <c r="E169" s="8"/>
      <c r="F169" s="8"/>
      <c r="S169" s="20"/>
      <c r="AF169" s="1"/>
    </row>
    <row r="170" spans="1:32" x14ac:dyDescent="0.2">
      <c r="A170" s="26"/>
      <c r="C170" s="8"/>
      <c r="D170" s="8"/>
      <c r="E170" s="8"/>
      <c r="F170" s="8"/>
      <c r="S170" s="20"/>
      <c r="AF170" s="1"/>
    </row>
    <row r="171" spans="1:32" x14ac:dyDescent="0.2">
      <c r="A171" s="26"/>
      <c r="C171" s="8"/>
      <c r="D171" s="8"/>
      <c r="E171" s="8"/>
      <c r="F171" s="8"/>
      <c r="S171" s="20"/>
      <c r="AF171" s="1"/>
    </row>
    <row r="172" spans="1:32" x14ac:dyDescent="0.2">
      <c r="A172" s="26"/>
      <c r="C172" s="8"/>
      <c r="D172" s="8"/>
      <c r="E172" s="8"/>
      <c r="F172" s="8"/>
      <c r="S172" s="20"/>
      <c r="AF172" s="1"/>
    </row>
    <row r="173" spans="1:32" x14ac:dyDescent="0.2">
      <c r="A173" s="26"/>
      <c r="C173" s="8"/>
      <c r="D173" s="8"/>
      <c r="E173" s="8"/>
      <c r="F173" s="8"/>
      <c r="S173" s="20"/>
      <c r="AF173" s="1"/>
    </row>
    <row r="174" spans="1:32" x14ac:dyDescent="0.2">
      <c r="A174" s="26"/>
      <c r="C174" s="8"/>
      <c r="D174" s="8"/>
      <c r="E174" s="8"/>
      <c r="F174" s="8"/>
      <c r="S174" s="20"/>
      <c r="AF174" s="1"/>
    </row>
    <row r="175" spans="1:32" x14ac:dyDescent="0.2">
      <c r="A175" s="26"/>
      <c r="C175" s="8"/>
      <c r="D175" s="8"/>
      <c r="E175" s="8"/>
      <c r="F175" s="8"/>
      <c r="S175" s="20"/>
      <c r="AF175" s="1"/>
    </row>
    <row r="176" spans="1:32" x14ac:dyDescent="0.2">
      <c r="A176" s="26"/>
      <c r="C176" s="8"/>
      <c r="D176" s="8"/>
      <c r="E176" s="8"/>
      <c r="F176" s="8"/>
      <c r="S176" s="20"/>
      <c r="AF176" s="1"/>
    </row>
    <row r="177" spans="1:32" x14ac:dyDescent="0.2">
      <c r="A177" s="26"/>
      <c r="C177" s="8"/>
      <c r="D177" s="8"/>
      <c r="E177" s="8"/>
      <c r="F177" s="8"/>
      <c r="S177" s="20"/>
      <c r="AF177" s="1"/>
    </row>
    <row r="178" spans="1:32" x14ac:dyDescent="0.2">
      <c r="A178" s="26"/>
      <c r="C178" s="8"/>
      <c r="D178" s="8"/>
      <c r="E178" s="8"/>
      <c r="F178" s="8"/>
      <c r="S178" s="20"/>
      <c r="AF178" s="1"/>
    </row>
    <row r="179" spans="1:32" x14ac:dyDescent="0.2">
      <c r="A179" s="26"/>
      <c r="C179" s="8"/>
      <c r="D179" s="8"/>
      <c r="E179" s="8"/>
      <c r="F179" s="8"/>
      <c r="S179" s="20"/>
      <c r="AF179" s="1"/>
    </row>
    <row r="180" spans="1:32" x14ac:dyDescent="0.2">
      <c r="A180" s="26"/>
      <c r="C180" s="8"/>
      <c r="D180" s="8"/>
      <c r="E180" s="8"/>
      <c r="F180" s="8"/>
      <c r="S180" s="20"/>
      <c r="AF180" s="1"/>
    </row>
    <row r="181" spans="1:32" x14ac:dyDescent="0.2">
      <c r="A181" s="26"/>
      <c r="C181" s="8"/>
      <c r="D181" s="8"/>
      <c r="E181" s="8"/>
      <c r="F181" s="8"/>
      <c r="S181" s="20"/>
      <c r="AF181" s="1"/>
    </row>
    <row r="182" spans="1:32" x14ac:dyDescent="0.2">
      <c r="A182" s="26"/>
      <c r="C182" s="8"/>
      <c r="D182" s="8"/>
      <c r="E182" s="8"/>
      <c r="F182" s="8"/>
      <c r="S182" s="20"/>
      <c r="AF182" s="1"/>
    </row>
    <row r="183" spans="1:32" x14ac:dyDescent="0.2">
      <c r="A183" s="26"/>
      <c r="C183" s="8"/>
      <c r="D183" s="8"/>
      <c r="E183" s="8"/>
      <c r="F183" s="8"/>
      <c r="S183" s="20"/>
      <c r="AF183" s="1"/>
    </row>
    <row r="184" spans="1:32" x14ac:dyDescent="0.2">
      <c r="A184" s="26"/>
      <c r="C184" s="8"/>
      <c r="D184" s="8"/>
      <c r="E184" s="8"/>
      <c r="F184" s="8"/>
      <c r="S184" s="20"/>
      <c r="AF184" s="1"/>
    </row>
    <row r="185" spans="1:32" x14ac:dyDescent="0.2">
      <c r="A185" s="26"/>
      <c r="C185" s="8"/>
      <c r="D185" s="8"/>
      <c r="E185" s="8"/>
      <c r="F185" s="8"/>
      <c r="S185" s="20"/>
      <c r="AF185" s="1"/>
    </row>
    <row r="186" spans="1:32" x14ac:dyDescent="0.2">
      <c r="A186" s="26"/>
      <c r="C186" s="8"/>
      <c r="D186" s="8"/>
      <c r="E186" s="8"/>
      <c r="F186" s="8"/>
      <c r="S186" s="20"/>
      <c r="AF186" s="1"/>
    </row>
    <row r="187" spans="1:32" x14ac:dyDescent="0.2">
      <c r="A187" s="26"/>
      <c r="C187" s="8"/>
      <c r="D187" s="8"/>
      <c r="E187" s="8"/>
      <c r="F187" s="8"/>
      <c r="S187" s="20"/>
      <c r="AF187" s="1"/>
    </row>
    <row r="188" spans="1:32" x14ac:dyDescent="0.2">
      <c r="A188" s="26"/>
      <c r="C188" s="8"/>
      <c r="D188" s="8"/>
      <c r="E188" s="8"/>
      <c r="F188" s="8"/>
      <c r="S188" s="20"/>
      <c r="AF188" s="1"/>
    </row>
    <row r="189" spans="1:32" x14ac:dyDescent="0.2">
      <c r="A189" s="26"/>
      <c r="C189" s="8"/>
      <c r="D189" s="8"/>
      <c r="E189" s="8"/>
      <c r="F189" s="8"/>
      <c r="S189" s="20"/>
      <c r="AF189" s="1"/>
    </row>
    <row r="190" spans="1:32" x14ac:dyDescent="0.2">
      <c r="A190" s="26"/>
      <c r="C190" s="8"/>
      <c r="D190" s="8"/>
      <c r="E190" s="8"/>
      <c r="F190" s="8"/>
      <c r="S190" s="20"/>
      <c r="AF190" s="1"/>
    </row>
    <row r="191" spans="1:32" x14ac:dyDescent="0.2">
      <c r="A191" s="26"/>
      <c r="C191" s="8"/>
      <c r="D191" s="8"/>
      <c r="E191" s="8"/>
      <c r="F191" s="8"/>
      <c r="S191" s="20"/>
      <c r="AF191" s="1"/>
    </row>
    <row r="192" spans="1:32" x14ac:dyDescent="0.2">
      <c r="A192" s="26"/>
      <c r="C192" s="8"/>
      <c r="D192" s="8"/>
      <c r="E192" s="8"/>
      <c r="F192" s="8"/>
      <c r="S192" s="20"/>
      <c r="AF192" s="1"/>
    </row>
    <row r="193" spans="1:32" x14ac:dyDescent="0.2">
      <c r="A193" s="26"/>
      <c r="C193" s="8"/>
      <c r="D193" s="8"/>
      <c r="E193" s="8"/>
      <c r="F193" s="8"/>
      <c r="S193" s="20"/>
      <c r="AF193" s="1"/>
    </row>
    <row r="194" spans="1:32" x14ac:dyDescent="0.2">
      <c r="A194" s="26"/>
      <c r="C194" s="8"/>
      <c r="D194" s="8"/>
      <c r="E194" s="8"/>
      <c r="F194" s="8"/>
      <c r="S194" s="20"/>
      <c r="AF194" s="1"/>
    </row>
    <row r="195" spans="1:32" x14ac:dyDescent="0.2">
      <c r="A195" s="26"/>
      <c r="C195" s="8"/>
      <c r="D195" s="8"/>
      <c r="E195" s="8"/>
      <c r="F195" s="8"/>
      <c r="S195" s="20"/>
      <c r="AF195" s="1"/>
    </row>
    <row r="196" spans="1:32" x14ac:dyDescent="0.2">
      <c r="A196" s="26"/>
      <c r="C196" s="8"/>
      <c r="D196" s="8"/>
      <c r="E196" s="8"/>
      <c r="F196" s="8"/>
      <c r="S196" s="20"/>
      <c r="AF196" s="1"/>
    </row>
    <row r="197" spans="1:32" x14ac:dyDescent="0.2">
      <c r="A197" s="26"/>
      <c r="C197" s="8"/>
      <c r="D197" s="8"/>
      <c r="E197" s="8"/>
      <c r="F197" s="8"/>
      <c r="S197" s="20"/>
      <c r="AF197" s="1"/>
    </row>
    <row r="198" spans="1:32" x14ac:dyDescent="0.2">
      <c r="A198" s="26"/>
      <c r="C198" s="8"/>
      <c r="D198" s="8"/>
      <c r="E198" s="8"/>
      <c r="F198" s="8"/>
      <c r="S198" s="20"/>
      <c r="AF198" s="1"/>
    </row>
    <row r="199" spans="1:32" x14ac:dyDescent="0.2">
      <c r="A199" s="26"/>
      <c r="C199" s="8"/>
      <c r="D199" s="8"/>
      <c r="E199" s="8"/>
      <c r="F199" s="8"/>
      <c r="S199" s="20"/>
      <c r="AF199" s="1"/>
    </row>
    <row r="200" spans="1:32" x14ac:dyDescent="0.2">
      <c r="A200" s="26"/>
      <c r="C200" s="8"/>
      <c r="D200" s="8"/>
      <c r="E200" s="8"/>
      <c r="F200" s="8"/>
      <c r="S200" s="20"/>
      <c r="AF200" s="1"/>
    </row>
    <row r="201" spans="1:32" x14ac:dyDescent="0.2">
      <c r="A201" s="26"/>
      <c r="C201" s="8"/>
      <c r="D201" s="8"/>
      <c r="E201" s="8"/>
      <c r="F201" s="8"/>
      <c r="S201" s="20"/>
      <c r="AF201" s="1"/>
    </row>
    <row r="202" spans="1:32" x14ac:dyDescent="0.2">
      <c r="A202" s="26"/>
      <c r="C202" s="8"/>
      <c r="D202" s="8"/>
      <c r="E202" s="8"/>
      <c r="F202" s="8"/>
      <c r="S202" s="20"/>
      <c r="AF202" s="1"/>
    </row>
    <row r="203" spans="1:32" x14ac:dyDescent="0.2">
      <c r="A203" s="26"/>
      <c r="C203" s="8"/>
      <c r="D203" s="8"/>
      <c r="E203" s="8"/>
      <c r="F203" s="8"/>
      <c r="S203" s="20"/>
      <c r="AF203" s="1"/>
    </row>
    <row r="204" spans="1:32" x14ac:dyDescent="0.2">
      <c r="A204" s="26"/>
      <c r="C204" s="8"/>
      <c r="D204" s="8"/>
      <c r="E204" s="8"/>
      <c r="F204" s="8"/>
      <c r="S204" s="20"/>
      <c r="AF204" s="1"/>
    </row>
    <row r="205" spans="1:32" x14ac:dyDescent="0.2">
      <c r="A205" s="26"/>
      <c r="C205" s="8"/>
      <c r="D205" s="8"/>
      <c r="E205" s="8"/>
      <c r="F205" s="8"/>
      <c r="S205" s="20"/>
      <c r="AF205" s="1"/>
    </row>
    <row r="206" spans="1:32" x14ac:dyDescent="0.2">
      <c r="A206" s="26"/>
      <c r="C206" s="8"/>
      <c r="D206" s="8"/>
      <c r="E206" s="8"/>
      <c r="F206" s="8"/>
      <c r="S206" s="20"/>
      <c r="AF206" s="1"/>
    </row>
    <row r="207" spans="1:32" x14ac:dyDescent="0.2">
      <c r="A207" s="26"/>
      <c r="C207" s="8"/>
      <c r="D207" s="8"/>
      <c r="E207" s="8"/>
      <c r="F207" s="8"/>
      <c r="S207" s="20"/>
      <c r="AF207" s="1"/>
    </row>
    <row r="208" spans="1:32" x14ac:dyDescent="0.2">
      <c r="A208" s="26"/>
      <c r="C208" s="8"/>
      <c r="D208" s="8"/>
      <c r="E208" s="8"/>
      <c r="F208" s="8"/>
      <c r="S208" s="20"/>
      <c r="AF208" s="1"/>
    </row>
    <row r="209" spans="1:32" x14ac:dyDescent="0.2">
      <c r="A209" s="26"/>
      <c r="C209" s="8"/>
      <c r="D209" s="8"/>
      <c r="E209" s="8"/>
      <c r="F209" s="8"/>
      <c r="S209" s="20"/>
      <c r="AF209" s="1"/>
    </row>
    <row r="210" spans="1:32" x14ac:dyDescent="0.2">
      <c r="A210" s="26"/>
      <c r="C210" s="8"/>
      <c r="D210" s="8"/>
      <c r="E210" s="8"/>
      <c r="F210" s="8"/>
      <c r="S210" s="20"/>
      <c r="AF210" s="1"/>
    </row>
    <row r="211" spans="1:32" x14ac:dyDescent="0.2">
      <c r="A211" s="26"/>
      <c r="C211" s="8"/>
      <c r="D211" s="8"/>
      <c r="E211" s="8"/>
      <c r="F211" s="8"/>
      <c r="S211" s="20"/>
      <c r="AF211" s="1"/>
    </row>
    <row r="212" spans="1:32" x14ac:dyDescent="0.2">
      <c r="A212" s="26"/>
      <c r="C212" s="8"/>
      <c r="D212" s="8"/>
      <c r="E212" s="8"/>
      <c r="F212" s="8"/>
      <c r="S212" s="20"/>
      <c r="AF212" s="1"/>
    </row>
    <row r="213" spans="1:32" x14ac:dyDescent="0.2">
      <c r="A213" s="26"/>
      <c r="C213" s="8"/>
      <c r="D213" s="8"/>
      <c r="E213" s="8"/>
      <c r="F213" s="8"/>
      <c r="S213" s="20"/>
      <c r="AF213" s="1"/>
    </row>
    <row r="214" spans="1:32" x14ac:dyDescent="0.2">
      <c r="A214" s="26"/>
      <c r="C214" s="8"/>
      <c r="D214" s="8"/>
      <c r="E214" s="8"/>
      <c r="F214" s="8"/>
      <c r="S214" s="20"/>
      <c r="AF214" s="1"/>
    </row>
    <row r="215" spans="1:32" x14ac:dyDescent="0.2">
      <c r="A215" s="26"/>
      <c r="C215" s="8"/>
      <c r="D215" s="8"/>
      <c r="E215" s="8"/>
      <c r="F215" s="8"/>
      <c r="S215" s="20"/>
      <c r="AF215" s="1"/>
    </row>
    <row r="216" spans="1:32" x14ac:dyDescent="0.2">
      <c r="A216" s="26"/>
      <c r="C216" s="8"/>
      <c r="D216" s="8"/>
      <c r="E216" s="8"/>
      <c r="F216" s="8"/>
      <c r="S216" s="20"/>
      <c r="AF216" s="1"/>
    </row>
    <row r="217" spans="1:32" x14ac:dyDescent="0.2">
      <c r="A217" s="26"/>
      <c r="C217" s="8"/>
      <c r="D217" s="8"/>
      <c r="E217" s="8"/>
      <c r="F217" s="8"/>
      <c r="S217" s="20"/>
      <c r="AF217" s="1"/>
    </row>
    <row r="218" spans="1:32" x14ac:dyDescent="0.2">
      <c r="A218" s="26"/>
      <c r="C218" s="8"/>
      <c r="D218" s="8"/>
      <c r="E218" s="8"/>
      <c r="F218" s="8"/>
      <c r="S218" s="20"/>
      <c r="AF218" s="1"/>
    </row>
    <row r="219" spans="1:32" x14ac:dyDescent="0.2">
      <c r="A219" s="26"/>
      <c r="C219" s="8"/>
      <c r="D219" s="8"/>
      <c r="E219" s="8"/>
      <c r="F219" s="8"/>
      <c r="S219" s="20"/>
      <c r="AF219" s="1"/>
    </row>
    <row r="220" spans="1:32" x14ac:dyDescent="0.2">
      <c r="A220" s="26"/>
      <c r="C220" s="8"/>
      <c r="D220" s="8"/>
      <c r="E220" s="8"/>
      <c r="F220" s="8"/>
      <c r="S220" s="20"/>
      <c r="AF220" s="1"/>
    </row>
    <row r="221" spans="1:32" x14ac:dyDescent="0.2">
      <c r="A221" s="26"/>
      <c r="C221" s="8"/>
      <c r="D221" s="8"/>
      <c r="E221" s="8"/>
      <c r="F221" s="8"/>
      <c r="S221" s="20"/>
      <c r="AF221" s="1"/>
    </row>
    <row r="222" spans="1:32" x14ac:dyDescent="0.2">
      <c r="A222" s="26"/>
      <c r="C222" s="8"/>
      <c r="D222" s="8"/>
      <c r="E222" s="8"/>
      <c r="F222" s="8"/>
      <c r="S222" s="20"/>
      <c r="AF222" s="1"/>
    </row>
    <row r="223" spans="1:32" x14ac:dyDescent="0.2">
      <c r="A223" s="26"/>
      <c r="C223" s="8"/>
      <c r="D223" s="8"/>
      <c r="E223" s="8"/>
      <c r="F223" s="8"/>
      <c r="S223" s="20"/>
      <c r="AF223" s="1"/>
    </row>
    <row r="224" spans="1:32" x14ac:dyDescent="0.2">
      <c r="A224" s="26"/>
      <c r="C224" s="8"/>
      <c r="D224" s="8"/>
      <c r="E224" s="8"/>
      <c r="F224" s="8"/>
      <c r="S224" s="20"/>
      <c r="AF224" s="1"/>
    </row>
    <row r="225" spans="1:32" x14ac:dyDescent="0.2">
      <c r="A225" s="26"/>
      <c r="C225" s="8"/>
      <c r="D225" s="8"/>
      <c r="E225" s="8"/>
      <c r="F225" s="8"/>
      <c r="S225" s="20"/>
      <c r="AF225" s="1"/>
    </row>
    <row r="226" spans="1:32" x14ac:dyDescent="0.2">
      <c r="A226" s="26"/>
      <c r="C226" s="8"/>
      <c r="D226" s="8"/>
      <c r="E226" s="8"/>
      <c r="F226" s="8"/>
      <c r="S226" s="20"/>
      <c r="AF226" s="1"/>
    </row>
    <row r="227" spans="1:32" x14ac:dyDescent="0.2">
      <c r="A227" s="26"/>
      <c r="C227" s="8"/>
      <c r="D227" s="8"/>
      <c r="E227" s="8"/>
      <c r="F227" s="8"/>
      <c r="S227" s="20"/>
      <c r="AF227" s="1"/>
    </row>
    <row r="228" spans="1:32" x14ac:dyDescent="0.2">
      <c r="A228" s="26"/>
      <c r="C228" s="8"/>
      <c r="D228" s="8"/>
      <c r="E228" s="8"/>
      <c r="F228" s="8"/>
      <c r="S228" s="20"/>
      <c r="AF228" s="1"/>
    </row>
    <row r="229" spans="1:32" x14ac:dyDescent="0.2">
      <c r="A229" s="26"/>
      <c r="C229" s="8"/>
      <c r="D229" s="8"/>
      <c r="E229" s="8"/>
      <c r="F229" s="8"/>
      <c r="S229" s="20"/>
      <c r="AF229" s="1"/>
    </row>
    <row r="230" spans="1:32" x14ac:dyDescent="0.2">
      <c r="A230" s="26"/>
      <c r="C230" s="8"/>
      <c r="D230" s="8"/>
      <c r="E230" s="8"/>
      <c r="F230" s="8"/>
      <c r="S230" s="20"/>
      <c r="AF230" s="1"/>
    </row>
    <row r="231" spans="1:32" x14ac:dyDescent="0.2">
      <c r="A231" s="26"/>
      <c r="C231" s="8"/>
      <c r="D231" s="8"/>
      <c r="E231" s="8"/>
      <c r="F231" s="8"/>
      <c r="S231" s="20"/>
      <c r="AF231" s="1"/>
    </row>
    <row r="232" spans="1:32" x14ac:dyDescent="0.2">
      <c r="A232" s="26"/>
      <c r="C232" s="8"/>
      <c r="D232" s="8"/>
      <c r="E232" s="8"/>
      <c r="F232" s="8"/>
      <c r="S232" s="20"/>
      <c r="AF232" s="1"/>
    </row>
    <row r="233" spans="1:32" x14ac:dyDescent="0.2">
      <c r="A233" s="26"/>
      <c r="C233" s="8"/>
      <c r="D233" s="8"/>
      <c r="E233" s="8"/>
      <c r="F233" s="8"/>
      <c r="S233" s="20"/>
      <c r="AF233" s="1"/>
    </row>
    <row r="234" spans="1:32" x14ac:dyDescent="0.2">
      <c r="A234" s="26"/>
      <c r="C234" s="8"/>
      <c r="D234" s="8"/>
      <c r="E234" s="8"/>
      <c r="F234" s="8"/>
      <c r="S234" s="20"/>
      <c r="AF234" s="1"/>
    </row>
    <row r="235" spans="1:32" x14ac:dyDescent="0.2">
      <c r="A235" s="26"/>
      <c r="C235" s="8"/>
      <c r="D235" s="8"/>
      <c r="E235" s="8"/>
      <c r="F235" s="8"/>
      <c r="S235" s="20"/>
      <c r="AF235" s="1"/>
    </row>
    <row r="236" spans="1:32" x14ac:dyDescent="0.2">
      <c r="A236" s="26"/>
      <c r="C236" s="8"/>
      <c r="D236" s="8"/>
      <c r="E236" s="8"/>
      <c r="F236" s="8"/>
      <c r="S236" s="20"/>
      <c r="AF236" s="1"/>
    </row>
    <row r="237" spans="1:32" x14ac:dyDescent="0.2">
      <c r="A237" s="26"/>
      <c r="C237" s="8"/>
      <c r="D237" s="8"/>
      <c r="E237" s="8"/>
      <c r="F237" s="8"/>
      <c r="S237" s="20"/>
      <c r="AF237" s="1"/>
    </row>
    <row r="238" spans="1:32" x14ac:dyDescent="0.2">
      <c r="A238" s="26"/>
      <c r="C238" s="8"/>
      <c r="D238" s="8"/>
      <c r="E238" s="8"/>
      <c r="F238" s="8"/>
      <c r="S238" s="20"/>
      <c r="AF238" s="1"/>
    </row>
    <row r="239" spans="1:32" x14ac:dyDescent="0.2">
      <c r="A239" s="26"/>
      <c r="C239" s="8"/>
      <c r="D239" s="8"/>
      <c r="E239" s="8"/>
      <c r="F239" s="8"/>
      <c r="S239" s="20"/>
      <c r="AF239" s="1"/>
    </row>
    <row r="240" spans="1:32" x14ac:dyDescent="0.2">
      <c r="A240" s="26"/>
      <c r="C240" s="8"/>
      <c r="D240" s="8"/>
      <c r="E240" s="8"/>
      <c r="F240" s="8"/>
      <c r="S240" s="20"/>
      <c r="AF240" s="1"/>
    </row>
    <row r="241" spans="1:32" x14ac:dyDescent="0.2">
      <c r="A241" s="26"/>
      <c r="C241" s="8"/>
      <c r="D241" s="8"/>
      <c r="E241" s="8"/>
      <c r="F241" s="8"/>
      <c r="S241" s="20"/>
      <c r="AF241" s="1"/>
    </row>
    <row r="242" spans="1:32" x14ac:dyDescent="0.2">
      <c r="A242" s="26"/>
      <c r="C242" s="8"/>
      <c r="D242" s="8"/>
      <c r="E242" s="8"/>
      <c r="F242" s="8"/>
      <c r="S242" s="20"/>
      <c r="AF242" s="1"/>
    </row>
    <row r="243" spans="1:32" x14ac:dyDescent="0.2">
      <c r="A243" s="26"/>
      <c r="C243" s="8"/>
      <c r="D243" s="8"/>
      <c r="E243" s="8"/>
      <c r="F243" s="8"/>
      <c r="S243" s="20"/>
      <c r="AF243" s="1"/>
    </row>
    <row r="244" spans="1:32" x14ac:dyDescent="0.2">
      <c r="A244" s="26"/>
      <c r="C244" s="8"/>
      <c r="D244" s="8"/>
      <c r="E244" s="8"/>
      <c r="F244" s="8"/>
      <c r="S244" s="20"/>
      <c r="AF244" s="1"/>
    </row>
    <row r="245" spans="1:32" x14ac:dyDescent="0.2">
      <c r="A245" s="26"/>
      <c r="C245" s="8"/>
      <c r="D245" s="8"/>
      <c r="E245" s="8"/>
      <c r="F245" s="8"/>
      <c r="S245" s="20"/>
      <c r="AF245" s="1"/>
    </row>
    <row r="246" spans="1:32" x14ac:dyDescent="0.2">
      <c r="A246" s="26"/>
      <c r="C246" s="8"/>
      <c r="D246" s="8"/>
      <c r="E246" s="8"/>
      <c r="F246" s="8"/>
      <c r="S246" s="20"/>
      <c r="AF246" s="1"/>
    </row>
    <row r="247" spans="1:32" x14ac:dyDescent="0.2">
      <c r="A247" s="26"/>
      <c r="C247" s="8"/>
      <c r="D247" s="8"/>
      <c r="E247" s="8"/>
      <c r="F247" s="8"/>
      <c r="S247" s="20"/>
      <c r="AF247" s="1"/>
    </row>
    <row r="248" spans="1:32" x14ac:dyDescent="0.2">
      <c r="A248" s="26"/>
      <c r="C248" s="8"/>
      <c r="D248" s="8"/>
      <c r="E248" s="8"/>
      <c r="F248" s="8"/>
      <c r="S248" s="20"/>
      <c r="AF248" s="1"/>
    </row>
    <row r="249" spans="1:32" x14ac:dyDescent="0.2">
      <c r="A249" s="26"/>
      <c r="C249" s="8"/>
      <c r="D249" s="8"/>
      <c r="E249" s="8"/>
      <c r="F249" s="8"/>
      <c r="S249" s="20"/>
      <c r="AF249" s="1"/>
    </row>
    <row r="250" spans="1:32" x14ac:dyDescent="0.2">
      <c r="A250" s="26"/>
      <c r="C250" s="8"/>
      <c r="D250" s="8"/>
      <c r="E250" s="8"/>
      <c r="F250" s="8"/>
      <c r="S250" s="20"/>
      <c r="AF250" s="1"/>
    </row>
    <row r="251" spans="1:32" x14ac:dyDescent="0.2">
      <c r="A251" s="26"/>
      <c r="C251" s="8"/>
      <c r="D251" s="8"/>
      <c r="E251" s="8"/>
      <c r="F251" s="8"/>
      <c r="S251" s="20"/>
      <c r="AF251" s="1"/>
    </row>
    <row r="252" spans="1:32" x14ac:dyDescent="0.2">
      <c r="A252" s="26"/>
      <c r="C252" s="8"/>
      <c r="D252" s="8"/>
      <c r="E252" s="8"/>
      <c r="F252" s="8"/>
      <c r="S252" s="20"/>
      <c r="AF252" s="1"/>
    </row>
    <row r="253" spans="1:32" x14ac:dyDescent="0.2">
      <c r="A253" s="26"/>
      <c r="C253" s="8"/>
      <c r="D253" s="8"/>
      <c r="E253" s="8"/>
      <c r="F253" s="8"/>
      <c r="S253" s="20"/>
      <c r="AF253" s="1"/>
    </row>
    <row r="254" spans="1:32" x14ac:dyDescent="0.2">
      <c r="A254" s="26"/>
      <c r="C254" s="8"/>
      <c r="D254" s="8"/>
      <c r="E254" s="8"/>
      <c r="F254" s="8"/>
      <c r="S254" s="20"/>
      <c r="AF254" s="1"/>
    </row>
    <row r="255" spans="1:32" x14ac:dyDescent="0.2">
      <c r="A255" s="26"/>
      <c r="C255" s="8"/>
      <c r="D255" s="8"/>
      <c r="E255" s="8"/>
      <c r="F255" s="8"/>
      <c r="S255" s="20"/>
      <c r="AF255" s="1"/>
    </row>
    <row r="256" spans="1:32" x14ac:dyDescent="0.2">
      <c r="A256" s="26"/>
      <c r="C256" s="8"/>
      <c r="D256" s="8"/>
      <c r="E256" s="8"/>
      <c r="F256" s="8"/>
      <c r="S256" s="20"/>
      <c r="AF256" s="1"/>
    </row>
    <row r="257" spans="1:32" x14ac:dyDescent="0.2">
      <c r="A257" s="26"/>
      <c r="C257" s="8"/>
      <c r="D257" s="8"/>
      <c r="E257" s="8"/>
      <c r="F257" s="8"/>
      <c r="S257" s="20"/>
      <c r="AF257" s="1"/>
    </row>
    <row r="258" spans="1:32" x14ac:dyDescent="0.2">
      <c r="A258" s="26"/>
      <c r="C258" s="8"/>
      <c r="D258" s="8"/>
      <c r="E258" s="8"/>
      <c r="F258" s="8"/>
      <c r="S258" s="20"/>
      <c r="AF258" s="1"/>
    </row>
    <row r="259" spans="1:32" x14ac:dyDescent="0.2">
      <c r="A259" s="26"/>
      <c r="C259" s="8"/>
      <c r="D259" s="8"/>
      <c r="E259" s="8"/>
      <c r="F259" s="8"/>
      <c r="S259" s="20"/>
      <c r="AF259" s="1"/>
    </row>
    <row r="260" spans="1:32" x14ac:dyDescent="0.2">
      <c r="A260" s="26"/>
      <c r="C260" s="8"/>
      <c r="D260" s="8"/>
      <c r="E260" s="8"/>
      <c r="F260" s="8"/>
      <c r="S260" s="20"/>
      <c r="AF260" s="1"/>
    </row>
    <row r="261" spans="1:32" x14ac:dyDescent="0.2">
      <c r="A261" s="26"/>
      <c r="C261" s="8"/>
      <c r="D261" s="8"/>
      <c r="E261" s="8"/>
      <c r="F261" s="8"/>
      <c r="S261" s="20"/>
      <c r="AF261" s="1"/>
    </row>
    <row r="262" spans="1:32" x14ac:dyDescent="0.2">
      <c r="A262" s="26"/>
      <c r="C262" s="8"/>
      <c r="D262" s="8"/>
      <c r="E262" s="8"/>
      <c r="F262" s="8"/>
      <c r="S262" s="20"/>
      <c r="AF262" s="1"/>
    </row>
    <row r="263" spans="1:32" x14ac:dyDescent="0.2">
      <c r="A263" s="26"/>
      <c r="C263" s="8"/>
      <c r="D263" s="8"/>
      <c r="E263" s="8"/>
      <c r="F263" s="8"/>
      <c r="S263" s="20"/>
      <c r="AF263" s="1"/>
    </row>
    <row r="264" spans="1:32" x14ac:dyDescent="0.2">
      <c r="A264" s="26"/>
      <c r="C264" s="8"/>
      <c r="D264" s="8"/>
      <c r="E264" s="8"/>
      <c r="F264" s="8"/>
      <c r="S264" s="20"/>
      <c r="AF264" s="1"/>
    </row>
    <row r="265" spans="1:32" x14ac:dyDescent="0.2">
      <c r="A265" s="26"/>
      <c r="C265" s="8"/>
      <c r="D265" s="8"/>
      <c r="E265" s="8"/>
      <c r="F265" s="8"/>
      <c r="S265" s="20"/>
      <c r="AF265" s="1"/>
    </row>
    <row r="266" spans="1:32" x14ac:dyDescent="0.2">
      <c r="A266" s="26"/>
      <c r="C266" s="8"/>
      <c r="D266" s="8"/>
      <c r="E266" s="8"/>
      <c r="F266" s="8"/>
      <c r="S266" s="20"/>
      <c r="AF266" s="1"/>
    </row>
    <row r="267" spans="1:32" x14ac:dyDescent="0.2">
      <c r="A267" s="26"/>
      <c r="C267" s="8"/>
      <c r="D267" s="8"/>
      <c r="E267" s="8"/>
      <c r="F267" s="8"/>
      <c r="S267" s="20"/>
      <c r="AF267" s="1"/>
    </row>
    <row r="268" spans="1:32" x14ac:dyDescent="0.2">
      <c r="A268" s="26"/>
      <c r="C268" s="8"/>
      <c r="D268" s="8"/>
      <c r="E268" s="8"/>
      <c r="F268" s="8"/>
      <c r="S268" s="20"/>
      <c r="AF268" s="1"/>
    </row>
    <row r="269" spans="1:32" x14ac:dyDescent="0.2">
      <c r="A269" s="26"/>
      <c r="C269" s="8"/>
      <c r="D269" s="8"/>
      <c r="E269" s="8"/>
      <c r="F269" s="8"/>
      <c r="S269" s="20"/>
      <c r="AF269" s="1"/>
    </row>
    <row r="270" spans="1:32" x14ac:dyDescent="0.2">
      <c r="A270" s="26"/>
      <c r="C270" s="8"/>
      <c r="D270" s="8"/>
      <c r="E270" s="8"/>
      <c r="F270" s="8"/>
      <c r="S270" s="20"/>
      <c r="AF270" s="1"/>
    </row>
    <row r="271" spans="1:32" x14ac:dyDescent="0.2">
      <c r="A271" s="26"/>
      <c r="C271" s="8"/>
      <c r="D271" s="8"/>
      <c r="E271" s="8"/>
      <c r="F271" s="8"/>
      <c r="S271" s="20"/>
      <c r="AF271" s="1"/>
    </row>
    <row r="272" spans="1:32" x14ac:dyDescent="0.2">
      <c r="A272" s="26"/>
      <c r="C272" s="8"/>
      <c r="D272" s="8"/>
      <c r="E272" s="8"/>
      <c r="F272" s="8"/>
      <c r="S272" s="20"/>
      <c r="AF272" s="1"/>
    </row>
    <row r="273" spans="1:32" x14ac:dyDescent="0.2">
      <c r="A273" s="26"/>
      <c r="C273" s="8"/>
      <c r="D273" s="8"/>
      <c r="E273" s="8"/>
      <c r="F273" s="8"/>
      <c r="S273" s="20"/>
      <c r="AF273" s="1"/>
    </row>
    <row r="274" spans="1:32" x14ac:dyDescent="0.2">
      <c r="A274" s="26"/>
      <c r="C274" s="8"/>
      <c r="D274" s="8"/>
      <c r="E274" s="8"/>
      <c r="F274" s="8"/>
      <c r="S274" s="20"/>
      <c r="AF274" s="1"/>
    </row>
    <row r="275" spans="1:32" x14ac:dyDescent="0.2">
      <c r="A275" s="26"/>
      <c r="C275" s="8"/>
      <c r="D275" s="8"/>
      <c r="E275" s="8"/>
      <c r="F275" s="8"/>
      <c r="S275" s="20"/>
      <c r="AF275" s="1"/>
    </row>
    <row r="276" spans="1:32" x14ac:dyDescent="0.2">
      <c r="A276" s="26"/>
      <c r="C276" s="8"/>
      <c r="D276" s="8"/>
      <c r="E276" s="8"/>
      <c r="F276" s="8"/>
      <c r="S276" s="20"/>
      <c r="AF276" s="1"/>
    </row>
    <row r="277" spans="1:32" x14ac:dyDescent="0.2">
      <c r="A277" s="26"/>
      <c r="C277" s="8"/>
      <c r="D277" s="8"/>
      <c r="E277" s="8"/>
      <c r="F277" s="8"/>
      <c r="S277" s="20"/>
      <c r="AF277" s="1"/>
    </row>
    <row r="278" spans="1:32" x14ac:dyDescent="0.2">
      <c r="A278" s="26"/>
      <c r="C278" s="8"/>
      <c r="D278" s="8"/>
      <c r="E278" s="8"/>
      <c r="F278" s="8"/>
      <c r="S278" s="20"/>
      <c r="AF278" s="1"/>
    </row>
    <row r="279" spans="1:32" x14ac:dyDescent="0.2">
      <c r="A279" s="26"/>
      <c r="C279" s="8"/>
      <c r="D279" s="8"/>
      <c r="E279" s="8"/>
      <c r="F279" s="8"/>
      <c r="S279" s="20"/>
      <c r="AF279" s="1"/>
    </row>
    <row r="280" spans="1:32" x14ac:dyDescent="0.2">
      <c r="A280" s="26"/>
      <c r="C280" s="8"/>
      <c r="D280" s="8"/>
      <c r="E280" s="8"/>
      <c r="F280" s="8"/>
      <c r="S280" s="20"/>
      <c r="AF280" s="1"/>
    </row>
    <row r="281" spans="1:32" x14ac:dyDescent="0.2">
      <c r="A281" s="26"/>
      <c r="C281" s="8"/>
      <c r="D281" s="8"/>
      <c r="E281" s="8"/>
      <c r="F281" s="8"/>
      <c r="S281" s="20"/>
      <c r="AF281" s="1"/>
    </row>
    <row r="282" spans="1:32" x14ac:dyDescent="0.2">
      <c r="A282" s="26"/>
      <c r="C282" s="8"/>
      <c r="D282" s="8"/>
      <c r="E282" s="8"/>
      <c r="F282" s="8"/>
      <c r="S282" s="20"/>
      <c r="AF282" s="1"/>
    </row>
    <row r="283" spans="1:32" x14ac:dyDescent="0.2">
      <c r="A283" s="26"/>
      <c r="C283" s="8"/>
      <c r="D283" s="8"/>
      <c r="E283" s="8"/>
      <c r="F283" s="8"/>
      <c r="S283" s="20"/>
      <c r="AF283" s="1"/>
    </row>
    <row r="284" spans="1:32" x14ac:dyDescent="0.2">
      <c r="A284" s="26"/>
      <c r="C284" s="8"/>
      <c r="D284" s="8"/>
      <c r="E284" s="8"/>
      <c r="F284" s="8"/>
      <c r="S284" s="20"/>
      <c r="AF284" s="1"/>
    </row>
    <row r="285" spans="1:32" x14ac:dyDescent="0.2">
      <c r="A285" s="26"/>
      <c r="C285" s="8"/>
      <c r="D285" s="8"/>
      <c r="E285" s="8"/>
      <c r="F285" s="8"/>
      <c r="S285" s="20"/>
      <c r="AF285" s="1"/>
    </row>
    <row r="286" spans="1:32" x14ac:dyDescent="0.2">
      <c r="A286" s="26"/>
      <c r="C286" s="8"/>
      <c r="D286" s="8"/>
      <c r="E286" s="8"/>
      <c r="F286" s="8"/>
      <c r="S286" s="20"/>
      <c r="AF286" s="1"/>
    </row>
    <row r="287" spans="1:32" x14ac:dyDescent="0.2">
      <c r="A287" s="26"/>
      <c r="C287" s="8"/>
      <c r="D287" s="8"/>
      <c r="E287" s="8"/>
      <c r="F287" s="8"/>
      <c r="S287" s="20"/>
      <c r="AF287" s="1"/>
    </row>
    <row r="288" spans="1:32" x14ac:dyDescent="0.2">
      <c r="A288" s="26"/>
      <c r="C288" s="8"/>
      <c r="D288" s="8"/>
      <c r="E288" s="8"/>
      <c r="F288" s="8"/>
      <c r="S288" s="20"/>
      <c r="AF288" s="1"/>
    </row>
    <row r="289" spans="1:32" x14ac:dyDescent="0.2">
      <c r="A289" s="26"/>
      <c r="C289" s="8"/>
      <c r="D289" s="8"/>
      <c r="E289" s="8"/>
      <c r="F289" s="8"/>
      <c r="S289" s="20"/>
      <c r="AF289" s="1"/>
    </row>
    <row r="290" spans="1:32" x14ac:dyDescent="0.2">
      <c r="A290" s="26"/>
      <c r="C290" s="8"/>
      <c r="D290" s="8"/>
      <c r="E290" s="8"/>
      <c r="F290" s="8"/>
      <c r="S290" s="20"/>
      <c r="AF290" s="1"/>
    </row>
    <row r="291" spans="1:32" x14ac:dyDescent="0.2">
      <c r="A291" s="26"/>
      <c r="C291" s="8"/>
      <c r="D291" s="8"/>
      <c r="E291" s="8"/>
      <c r="F291" s="8"/>
      <c r="S291" s="20"/>
      <c r="AF291" s="1"/>
    </row>
    <row r="292" spans="1:32" x14ac:dyDescent="0.2">
      <c r="A292" s="26"/>
      <c r="C292" s="8"/>
      <c r="D292" s="8"/>
      <c r="E292" s="8"/>
      <c r="F292" s="8"/>
      <c r="S292" s="20"/>
      <c r="AF292" s="1"/>
    </row>
    <row r="293" spans="1:32" x14ac:dyDescent="0.2">
      <c r="A293" s="26"/>
      <c r="C293" s="8"/>
      <c r="D293" s="8"/>
      <c r="E293" s="8"/>
      <c r="F293" s="8"/>
      <c r="S293" s="20"/>
      <c r="AF293" s="1"/>
    </row>
    <row r="294" spans="1:32" x14ac:dyDescent="0.2">
      <c r="A294" s="26"/>
      <c r="C294" s="8"/>
      <c r="D294" s="8"/>
      <c r="E294" s="8"/>
      <c r="F294" s="8"/>
      <c r="S294" s="20"/>
      <c r="AF294" s="1"/>
    </row>
    <row r="295" spans="1:32" x14ac:dyDescent="0.2">
      <c r="A295" s="26"/>
      <c r="C295" s="8"/>
      <c r="D295" s="8"/>
      <c r="E295" s="8"/>
      <c r="F295" s="8"/>
      <c r="S295" s="20"/>
      <c r="AF295" s="1"/>
    </row>
    <row r="296" spans="1:32" x14ac:dyDescent="0.2">
      <c r="A296" s="26"/>
      <c r="C296" s="8"/>
      <c r="D296" s="8"/>
      <c r="E296" s="8"/>
      <c r="F296" s="8"/>
      <c r="S296" s="20"/>
      <c r="AF296" s="1"/>
    </row>
    <row r="297" spans="1:32" x14ac:dyDescent="0.2">
      <c r="A297" s="26"/>
      <c r="C297" s="8"/>
      <c r="D297" s="8"/>
      <c r="E297" s="8"/>
      <c r="F297" s="8"/>
      <c r="S297" s="20"/>
      <c r="AF297" s="1"/>
    </row>
    <row r="298" spans="1:32" x14ac:dyDescent="0.2">
      <c r="A298" s="26"/>
      <c r="C298" s="8"/>
      <c r="D298" s="8"/>
      <c r="E298" s="8"/>
      <c r="F298" s="8"/>
      <c r="S298" s="20"/>
      <c r="AF298" s="1"/>
    </row>
    <row r="299" spans="1:32" x14ac:dyDescent="0.2">
      <c r="A299" s="26"/>
      <c r="C299" s="8"/>
      <c r="D299" s="8"/>
      <c r="E299" s="8"/>
      <c r="F299" s="8"/>
      <c r="S299" s="20"/>
      <c r="AF299" s="1"/>
    </row>
    <row r="300" spans="1:32" x14ac:dyDescent="0.2">
      <c r="A300" s="26"/>
      <c r="C300" s="8"/>
      <c r="D300" s="8"/>
      <c r="E300" s="8"/>
      <c r="F300" s="8"/>
      <c r="S300" s="20"/>
      <c r="AF300" s="1"/>
    </row>
    <row r="301" spans="1:32" x14ac:dyDescent="0.2">
      <c r="A301" s="26"/>
      <c r="C301" s="8"/>
      <c r="D301" s="8"/>
      <c r="E301" s="8"/>
      <c r="F301" s="8"/>
      <c r="S301" s="20"/>
      <c r="AF301" s="1"/>
    </row>
    <row r="302" spans="1:32" x14ac:dyDescent="0.2">
      <c r="A302" s="26"/>
      <c r="C302" s="8"/>
      <c r="D302" s="8"/>
      <c r="E302" s="8"/>
      <c r="F302" s="8"/>
      <c r="S302" s="20"/>
      <c r="AF302" s="1"/>
    </row>
    <row r="303" spans="1:32" x14ac:dyDescent="0.2">
      <c r="A303" s="26"/>
      <c r="C303" s="8"/>
      <c r="D303" s="8"/>
      <c r="E303" s="8"/>
      <c r="F303" s="8"/>
      <c r="S303" s="20"/>
      <c r="AF303" s="1"/>
    </row>
    <row r="304" spans="1:32" x14ac:dyDescent="0.2">
      <c r="A304" s="26"/>
      <c r="C304" s="8"/>
      <c r="D304" s="8"/>
      <c r="E304" s="8"/>
      <c r="F304" s="8"/>
      <c r="S304" s="20"/>
      <c r="AF304" s="1"/>
    </row>
    <row r="305" spans="1:32" x14ac:dyDescent="0.2">
      <c r="A305" s="26"/>
      <c r="C305" s="8"/>
      <c r="D305" s="8"/>
      <c r="E305" s="8"/>
      <c r="F305" s="8"/>
      <c r="S305" s="20"/>
      <c r="AF305" s="1"/>
    </row>
    <row r="306" spans="1:32" x14ac:dyDescent="0.2">
      <c r="A306" s="26"/>
      <c r="C306" s="8"/>
      <c r="D306" s="8"/>
      <c r="E306" s="8"/>
      <c r="F306" s="8"/>
      <c r="S306" s="20"/>
      <c r="AF306" s="1"/>
    </row>
    <row r="307" spans="1:32" x14ac:dyDescent="0.2">
      <c r="A307" s="26"/>
      <c r="C307" s="8"/>
      <c r="D307" s="8"/>
      <c r="E307" s="8"/>
      <c r="F307" s="8"/>
      <c r="S307" s="20"/>
      <c r="AF307" s="1"/>
    </row>
    <row r="308" spans="1:32" x14ac:dyDescent="0.2">
      <c r="A308" s="26"/>
      <c r="C308" s="8"/>
      <c r="D308" s="8"/>
      <c r="E308" s="8"/>
      <c r="F308" s="8"/>
      <c r="S308" s="20"/>
      <c r="AF308" s="1"/>
    </row>
    <row r="309" spans="1:32" x14ac:dyDescent="0.2">
      <c r="A309" s="26"/>
      <c r="C309" s="8"/>
      <c r="D309" s="8"/>
      <c r="E309" s="8"/>
      <c r="F309" s="8"/>
      <c r="S309" s="20"/>
      <c r="AF309" s="1"/>
    </row>
    <row r="310" spans="1:32" x14ac:dyDescent="0.2">
      <c r="A310" s="26"/>
      <c r="C310" s="8"/>
      <c r="D310" s="8"/>
      <c r="E310" s="8"/>
      <c r="F310" s="8"/>
      <c r="S310" s="20"/>
      <c r="AF310" s="1"/>
    </row>
    <row r="311" spans="1:32" x14ac:dyDescent="0.2">
      <c r="A311" s="26"/>
      <c r="C311" s="8"/>
      <c r="D311" s="8"/>
      <c r="E311" s="8"/>
      <c r="F311" s="8"/>
      <c r="S311" s="20"/>
      <c r="AF311" s="1"/>
    </row>
    <row r="312" spans="1:32" x14ac:dyDescent="0.2">
      <c r="A312" s="26"/>
      <c r="C312" s="8"/>
      <c r="D312" s="8"/>
      <c r="E312" s="8"/>
      <c r="F312" s="8"/>
      <c r="S312" s="20"/>
      <c r="AF312" s="1"/>
    </row>
    <row r="313" spans="1:32" x14ac:dyDescent="0.2">
      <c r="A313" s="26"/>
      <c r="C313" s="8"/>
      <c r="D313" s="8"/>
      <c r="E313" s="8"/>
      <c r="F313" s="8"/>
      <c r="S313" s="20"/>
      <c r="AF313" s="1"/>
    </row>
    <row r="314" spans="1:32" x14ac:dyDescent="0.2">
      <c r="A314" s="26"/>
      <c r="C314" s="8"/>
      <c r="D314" s="8"/>
      <c r="E314" s="8"/>
      <c r="F314" s="8"/>
      <c r="S314" s="20"/>
      <c r="AF314" s="1"/>
    </row>
    <row r="315" spans="1:32" x14ac:dyDescent="0.2">
      <c r="A315" s="26"/>
      <c r="C315" s="8"/>
      <c r="D315" s="8"/>
      <c r="E315" s="8"/>
      <c r="F315" s="8"/>
      <c r="S315" s="20"/>
      <c r="AF315" s="1"/>
    </row>
    <row r="316" spans="1:32" x14ac:dyDescent="0.2">
      <c r="A316" s="26"/>
      <c r="C316" s="8"/>
      <c r="D316" s="8"/>
      <c r="E316" s="8"/>
      <c r="F316" s="8"/>
      <c r="S316" s="20"/>
      <c r="AF316" s="1"/>
    </row>
    <row r="317" spans="1:32" x14ac:dyDescent="0.2">
      <c r="A317" s="26"/>
      <c r="C317" s="8"/>
      <c r="D317" s="8"/>
      <c r="E317" s="8"/>
      <c r="F317" s="8"/>
      <c r="S317" s="20"/>
      <c r="AF317" s="1"/>
    </row>
    <row r="318" spans="1:32" x14ac:dyDescent="0.2">
      <c r="A318" s="26"/>
      <c r="C318" s="8"/>
      <c r="D318" s="8"/>
      <c r="E318" s="8"/>
      <c r="F318" s="8"/>
      <c r="S318" s="20"/>
      <c r="AF318" s="1"/>
    </row>
    <row r="319" spans="1:32" x14ac:dyDescent="0.2">
      <c r="A319" s="26"/>
      <c r="C319" s="8"/>
      <c r="D319" s="8"/>
      <c r="E319" s="8"/>
      <c r="F319" s="8"/>
      <c r="S319" s="20"/>
      <c r="AF319" s="1"/>
    </row>
    <row r="320" spans="1:32" x14ac:dyDescent="0.2">
      <c r="A320" s="26"/>
      <c r="C320" s="8"/>
      <c r="D320" s="8"/>
      <c r="E320" s="8"/>
      <c r="F320" s="8"/>
      <c r="S320" s="20"/>
      <c r="AF320" s="1"/>
    </row>
    <row r="321" spans="1:32" x14ac:dyDescent="0.2">
      <c r="A321" s="26"/>
      <c r="C321" s="8"/>
      <c r="D321" s="8"/>
      <c r="E321" s="8"/>
      <c r="F321" s="8"/>
      <c r="S321" s="20"/>
      <c r="AF321" s="1"/>
    </row>
    <row r="322" spans="1:32" x14ac:dyDescent="0.2">
      <c r="A322" s="26"/>
      <c r="C322" s="8"/>
      <c r="D322" s="8"/>
      <c r="E322" s="8"/>
      <c r="F322" s="8"/>
      <c r="S322" s="20"/>
      <c r="AF322" s="1"/>
    </row>
    <row r="323" spans="1:32" x14ac:dyDescent="0.2">
      <c r="A323" s="26"/>
      <c r="C323" s="8"/>
      <c r="D323" s="8"/>
      <c r="E323" s="8"/>
      <c r="F323" s="8"/>
      <c r="S323" s="20"/>
      <c r="AF323" s="1"/>
    </row>
    <row r="324" spans="1:32" x14ac:dyDescent="0.2">
      <c r="A324" s="26"/>
      <c r="C324" s="8"/>
      <c r="D324" s="8"/>
      <c r="E324" s="8"/>
      <c r="F324" s="8"/>
      <c r="S324" s="20"/>
      <c r="AF324" s="1"/>
    </row>
    <row r="325" spans="1:32" x14ac:dyDescent="0.2">
      <c r="A325" s="26"/>
      <c r="C325" s="8"/>
      <c r="D325" s="8"/>
      <c r="E325" s="8"/>
      <c r="F325" s="8"/>
      <c r="S325" s="20"/>
      <c r="AF325" s="1"/>
    </row>
    <row r="326" spans="1:32" x14ac:dyDescent="0.2">
      <c r="A326" s="26"/>
      <c r="C326" s="8"/>
      <c r="D326" s="8"/>
      <c r="E326" s="8"/>
      <c r="F326" s="8"/>
      <c r="S326" s="20"/>
      <c r="AF326" s="1"/>
    </row>
    <row r="327" spans="1:32" x14ac:dyDescent="0.2">
      <c r="A327" s="26"/>
      <c r="C327" s="8"/>
      <c r="D327" s="8"/>
      <c r="E327" s="8"/>
      <c r="F327" s="8"/>
      <c r="S327" s="20"/>
      <c r="AF327" s="1"/>
    </row>
    <row r="328" spans="1:32" x14ac:dyDescent="0.2">
      <c r="A328" s="26"/>
      <c r="C328" s="8"/>
      <c r="D328" s="8"/>
      <c r="E328" s="8"/>
      <c r="F328" s="8"/>
      <c r="S328" s="20"/>
      <c r="AF328" s="1"/>
    </row>
    <row r="329" spans="1:32" x14ac:dyDescent="0.2">
      <c r="A329" s="26"/>
      <c r="C329" s="8"/>
      <c r="D329" s="8"/>
      <c r="E329" s="8"/>
      <c r="F329" s="8"/>
      <c r="S329" s="20"/>
      <c r="AF329" s="1"/>
    </row>
    <row r="330" spans="1:32" x14ac:dyDescent="0.2">
      <c r="A330" s="26"/>
      <c r="C330" s="8"/>
      <c r="D330" s="8"/>
      <c r="E330" s="8"/>
      <c r="F330" s="8"/>
      <c r="S330" s="20"/>
      <c r="AF330" s="1"/>
    </row>
    <row r="331" spans="1:32" x14ac:dyDescent="0.2">
      <c r="A331" s="26"/>
      <c r="C331" s="8"/>
      <c r="D331" s="8"/>
      <c r="E331" s="8"/>
      <c r="F331" s="8"/>
      <c r="S331" s="20"/>
      <c r="AF331" s="1"/>
    </row>
    <row r="332" spans="1:32" x14ac:dyDescent="0.2">
      <c r="A332" s="26"/>
      <c r="C332" s="8"/>
      <c r="D332" s="8"/>
      <c r="E332" s="8"/>
      <c r="F332" s="8"/>
      <c r="S332" s="20"/>
      <c r="AF332" s="1"/>
    </row>
    <row r="333" spans="1:32" x14ac:dyDescent="0.2">
      <c r="A333" s="26"/>
      <c r="C333" s="8"/>
      <c r="D333" s="8"/>
      <c r="E333" s="8"/>
      <c r="F333" s="8"/>
      <c r="S333" s="20"/>
      <c r="AF333" s="1"/>
    </row>
    <row r="334" spans="1:32" x14ac:dyDescent="0.2">
      <c r="A334" s="26"/>
      <c r="C334" s="8"/>
      <c r="D334" s="8"/>
      <c r="E334" s="8"/>
      <c r="F334" s="8"/>
      <c r="S334" s="20"/>
      <c r="AF334" s="1"/>
    </row>
    <row r="335" spans="1:32" x14ac:dyDescent="0.2">
      <c r="A335" s="26"/>
      <c r="C335" s="8"/>
      <c r="D335" s="8"/>
      <c r="E335" s="8"/>
      <c r="F335" s="8"/>
      <c r="S335" s="20"/>
      <c r="AF335" s="1"/>
    </row>
    <row r="336" spans="1:32" x14ac:dyDescent="0.2">
      <c r="A336" s="26"/>
      <c r="C336" s="8"/>
      <c r="D336" s="8"/>
      <c r="E336" s="8"/>
      <c r="F336" s="8"/>
      <c r="S336" s="20"/>
      <c r="AF336" s="1"/>
    </row>
    <row r="337" spans="1:32" x14ac:dyDescent="0.2">
      <c r="A337" s="26"/>
      <c r="C337" s="8"/>
      <c r="D337" s="8"/>
      <c r="E337" s="8"/>
      <c r="F337" s="8"/>
      <c r="S337" s="20"/>
      <c r="AF337" s="1"/>
    </row>
    <row r="338" spans="1:32" x14ac:dyDescent="0.2">
      <c r="A338" s="26"/>
      <c r="C338" s="8"/>
      <c r="D338" s="8"/>
      <c r="E338" s="8"/>
      <c r="F338" s="8"/>
      <c r="S338" s="20"/>
      <c r="AF338" s="1"/>
    </row>
    <row r="339" spans="1:32" x14ac:dyDescent="0.2">
      <c r="A339" s="26"/>
      <c r="C339" s="8"/>
      <c r="D339" s="8"/>
      <c r="E339" s="8"/>
      <c r="F339" s="8"/>
      <c r="S339" s="20"/>
      <c r="AF339" s="1"/>
    </row>
    <row r="340" spans="1:32" x14ac:dyDescent="0.2">
      <c r="A340" s="26"/>
      <c r="C340" s="8"/>
      <c r="D340" s="8"/>
      <c r="E340" s="8"/>
      <c r="F340" s="8"/>
      <c r="S340" s="20"/>
      <c r="AF340" s="1"/>
    </row>
    <row r="341" spans="1:32" x14ac:dyDescent="0.2">
      <c r="A341" s="26"/>
      <c r="C341" s="8"/>
      <c r="D341" s="8"/>
      <c r="E341" s="8"/>
      <c r="F341" s="8"/>
      <c r="S341" s="20"/>
      <c r="AF341" s="1"/>
    </row>
    <row r="342" spans="1:32" x14ac:dyDescent="0.2">
      <c r="A342" s="26"/>
      <c r="C342" s="8"/>
      <c r="D342" s="8"/>
      <c r="E342" s="8"/>
      <c r="F342" s="8"/>
      <c r="S342" s="20"/>
      <c r="AF342" s="1"/>
    </row>
    <row r="343" spans="1:32" x14ac:dyDescent="0.2">
      <c r="A343" s="26"/>
      <c r="C343" s="8"/>
      <c r="D343" s="8"/>
      <c r="E343" s="8"/>
      <c r="F343" s="8"/>
      <c r="S343" s="20"/>
      <c r="AF343" s="1"/>
    </row>
    <row r="344" spans="1:32" x14ac:dyDescent="0.2">
      <c r="A344" s="26"/>
      <c r="C344" s="8"/>
      <c r="D344" s="8"/>
      <c r="E344" s="8"/>
      <c r="F344" s="8"/>
      <c r="S344" s="20"/>
      <c r="AF344" s="1"/>
    </row>
    <row r="345" spans="1:32" x14ac:dyDescent="0.2">
      <c r="A345" s="26"/>
      <c r="C345" s="8"/>
      <c r="D345" s="8"/>
      <c r="E345" s="8"/>
      <c r="F345" s="8"/>
      <c r="S345" s="20"/>
      <c r="AF345" s="1"/>
    </row>
    <row r="346" spans="1:32" x14ac:dyDescent="0.2">
      <c r="A346" s="26"/>
      <c r="C346" s="8"/>
      <c r="D346" s="8"/>
      <c r="E346" s="8"/>
      <c r="F346" s="8"/>
      <c r="S346" s="20"/>
      <c r="AF346" s="1"/>
    </row>
    <row r="347" spans="1:32" x14ac:dyDescent="0.2">
      <c r="A347" s="26"/>
      <c r="C347" s="8"/>
      <c r="D347" s="8"/>
      <c r="E347" s="8"/>
      <c r="F347" s="8"/>
      <c r="S347" s="20"/>
      <c r="AF347" s="1"/>
    </row>
    <row r="348" spans="1:32" x14ac:dyDescent="0.2">
      <c r="A348" s="26"/>
      <c r="C348" s="8"/>
      <c r="D348" s="8"/>
      <c r="E348" s="8"/>
      <c r="F348" s="8"/>
      <c r="S348" s="20"/>
      <c r="AF348" s="1"/>
    </row>
    <row r="349" spans="1:32" x14ac:dyDescent="0.2">
      <c r="A349" s="26"/>
      <c r="C349" s="8"/>
      <c r="D349" s="8"/>
      <c r="E349" s="8"/>
      <c r="F349" s="8"/>
      <c r="S349" s="20"/>
      <c r="AF349" s="1"/>
    </row>
    <row r="350" spans="1:32" x14ac:dyDescent="0.2">
      <c r="A350" s="26"/>
      <c r="C350" s="8"/>
      <c r="D350" s="8"/>
      <c r="E350" s="8"/>
      <c r="F350" s="8"/>
      <c r="S350" s="20"/>
      <c r="AF350" s="1"/>
    </row>
    <row r="351" spans="1:32" x14ac:dyDescent="0.2">
      <c r="A351" s="26"/>
      <c r="C351" s="8"/>
      <c r="D351" s="8"/>
      <c r="E351" s="8"/>
      <c r="F351" s="8"/>
      <c r="S351" s="20"/>
      <c r="AF351" s="1"/>
    </row>
    <row r="352" spans="1:32" x14ac:dyDescent="0.2">
      <c r="A352" s="26"/>
      <c r="C352" s="8"/>
      <c r="D352" s="8"/>
      <c r="E352" s="8"/>
      <c r="F352" s="8"/>
      <c r="S352" s="20"/>
      <c r="AF352" s="1"/>
    </row>
    <row r="353" spans="1:32" x14ac:dyDescent="0.2">
      <c r="A353" s="26"/>
      <c r="C353" s="8"/>
      <c r="D353" s="8"/>
      <c r="E353" s="8"/>
      <c r="F353" s="8"/>
      <c r="S353" s="20"/>
      <c r="AF353" s="1"/>
    </row>
    <row r="354" spans="1:32" x14ac:dyDescent="0.2">
      <c r="A354" s="26"/>
      <c r="C354" s="8"/>
      <c r="D354" s="8"/>
      <c r="E354" s="8"/>
      <c r="F354" s="8"/>
      <c r="S354" s="20"/>
      <c r="AF354" s="1"/>
    </row>
    <row r="355" spans="1:32" x14ac:dyDescent="0.2">
      <c r="A355" s="26"/>
      <c r="C355" s="8"/>
      <c r="D355" s="8"/>
      <c r="E355" s="8"/>
      <c r="F355" s="8"/>
      <c r="S355" s="20"/>
      <c r="AF355" s="1"/>
    </row>
    <row r="356" spans="1:32" x14ac:dyDescent="0.2">
      <c r="A356" s="26"/>
      <c r="C356" s="8"/>
      <c r="D356" s="8"/>
      <c r="E356" s="8"/>
      <c r="F356" s="8"/>
      <c r="S356" s="20"/>
      <c r="AF356" s="1"/>
    </row>
    <row r="357" spans="1:32" x14ac:dyDescent="0.2">
      <c r="A357" s="26"/>
      <c r="C357" s="8"/>
      <c r="D357" s="8"/>
      <c r="E357" s="8"/>
      <c r="F357" s="8"/>
      <c r="S357" s="20"/>
      <c r="AF357" s="1"/>
    </row>
    <row r="358" spans="1:32" x14ac:dyDescent="0.2">
      <c r="A358" s="26"/>
      <c r="C358" s="8"/>
      <c r="D358" s="8"/>
      <c r="E358" s="8"/>
      <c r="F358" s="8"/>
      <c r="S358" s="20"/>
      <c r="AF358" s="1"/>
    </row>
    <row r="359" spans="1:32" x14ac:dyDescent="0.2">
      <c r="A359" s="26"/>
      <c r="C359" s="8"/>
      <c r="D359" s="8"/>
      <c r="E359" s="8"/>
      <c r="F359" s="8"/>
      <c r="S359" s="20"/>
      <c r="AF359" s="1"/>
    </row>
    <row r="360" spans="1:32" x14ac:dyDescent="0.2">
      <c r="A360" s="26"/>
      <c r="C360" s="8"/>
      <c r="D360" s="8"/>
      <c r="E360" s="8"/>
      <c r="F360" s="8"/>
      <c r="S360" s="20"/>
      <c r="AF360" s="1"/>
    </row>
    <row r="361" spans="1:32" x14ac:dyDescent="0.2">
      <c r="A361" s="26"/>
      <c r="C361" s="8"/>
      <c r="D361" s="8"/>
      <c r="E361" s="8"/>
      <c r="F361" s="8"/>
      <c r="S361" s="20"/>
      <c r="AF361" s="1"/>
    </row>
    <row r="362" spans="1:32" x14ac:dyDescent="0.2">
      <c r="A362" s="26"/>
      <c r="C362" s="8"/>
      <c r="D362" s="8"/>
      <c r="E362" s="8"/>
      <c r="F362" s="8"/>
      <c r="S362" s="20"/>
      <c r="AF362" s="1"/>
    </row>
    <row r="363" spans="1:32" x14ac:dyDescent="0.2">
      <c r="A363" s="26"/>
      <c r="C363" s="8"/>
      <c r="D363" s="8"/>
      <c r="E363" s="8"/>
      <c r="F363" s="8"/>
      <c r="S363" s="20"/>
      <c r="AF363" s="1"/>
    </row>
    <row r="364" spans="1:32" x14ac:dyDescent="0.2">
      <c r="A364" s="26"/>
      <c r="C364" s="8"/>
      <c r="D364" s="8"/>
      <c r="E364" s="8"/>
      <c r="F364" s="8"/>
      <c r="S364" s="20"/>
      <c r="AF364" s="1"/>
    </row>
    <row r="365" spans="1:32" x14ac:dyDescent="0.2">
      <c r="A365" s="26"/>
      <c r="C365" s="8"/>
      <c r="D365" s="8"/>
      <c r="E365" s="8"/>
      <c r="F365" s="8"/>
      <c r="S365" s="20"/>
      <c r="AF365" s="1"/>
    </row>
    <row r="366" spans="1:32" x14ac:dyDescent="0.2">
      <c r="A366" s="26"/>
      <c r="C366" s="8"/>
      <c r="D366" s="8"/>
      <c r="E366" s="8"/>
      <c r="F366" s="8"/>
      <c r="S366" s="20"/>
      <c r="AF366" s="1"/>
    </row>
    <row r="367" spans="1:32" x14ac:dyDescent="0.2">
      <c r="A367" s="26"/>
      <c r="C367" s="8"/>
      <c r="D367" s="8"/>
      <c r="E367" s="8"/>
      <c r="F367" s="8"/>
      <c r="S367" s="20"/>
      <c r="AF367" s="1"/>
    </row>
    <row r="368" spans="1:32" x14ac:dyDescent="0.2">
      <c r="A368" s="26"/>
      <c r="C368" s="8"/>
      <c r="D368" s="8"/>
      <c r="E368" s="8"/>
      <c r="F368" s="8"/>
      <c r="S368" s="20"/>
      <c r="AF368" s="1"/>
    </row>
    <row r="369" spans="1:32" x14ac:dyDescent="0.2">
      <c r="A369" s="26"/>
      <c r="C369" s="8"/>
      <c r="D369" s="8"/>
      <c r="E369" s="8"/>
      <c r="F369" s="8"/>
      <c r="S369" s="20"/>
      <c r="AF369" s="1"/>
    </row>
    <row r="370" spans="1:32" x14ac:dyDescent="0.2">
      <c r="A370" s="26"/>
      <c r="C370" s="8"/>
      <c r="D370" s="8"/>
      <c r="E370" s="8"/>
      <c r="F370" s="8"/>
      <c r="S370" s="20"/>
      <c r="AF370" s="1"/>
    </row>
    <row r="371" spans="1:32" x14ac:dyDescent="0.2">
      <c r="A371" s="26"/>
      <c r="C371" s="8"/>
      <c r="D371" s="8"/>
      <c r="E371" s="8"/>
      <c r="F371" s="8"/>
      <c r="S371" s="20"/>
      <c r="AF371" s="1"/>
    </row>
    <row r="372" spans="1:32" x14ac:dyDescent="0.2">
      <c r="A372" s="26"/>
      <c r="C372" s="8"/>
      <c r="D372" s="8"/>
      <c r="E372" s="8"/>
      <c r="F372" s="8"/>
      <c r="S372" s="20"/>
      <c r="AF372" s="1"/>
    </row>
    <row r="373" spans="1:32" x14ac:dyDescent="0.2">
      <c r="A373" s="26"/>
      <c r="C373" s="8"/>
      <c r="D373" s="8"/>
      <c r="E373" s="8"/>
      <c r="F373" s="8"/>
      <c r="S373" s="20"/>
      <c r="AF373" s="1"/>
    </row>
    <row r="374" spans="1:32" x14ac:dyDescent="0.2">
      <c r="A374" s="26"/>
      <c r="C374" s="8"/>
      <c r="D374" s="8"/>
      <c r="E374" s="8"/>
      <c r="F374" s="8"/>
      <c r="S374" s="20"/>
      <c r="AF374" s="1"/>
    </row>
    <row r="375" spans="1:32" x14ac:dyDescent="0.2">
      <c r="A375" s="26"/>
      <c r="C375" s="8"/>
      <c r="D375" s="8"/>
      <c r="E375" s="8"/>
      <c r="F375" s="8"/>
      <c r="S375" s="20"/>
      <c r="AF375" s="1"/>
    </row>
    <row r="376" spans="1:32" x14ac:dyDescent="0.2">
      <c r="A376" s="26"/>
      <c r="C376" s="8"/>
      <c r="D376" s="8"/>
      <c r="E376" s="8"/>
      <c r="F376" s="8"/>
      <c r="S376" s="20"/>
      <c r="AF376" s="1"/>
    </row>
    <row r="377" spans="1:32" x14ac:dyDescent="0.2">
      <c r="A377" s="26"/>
      <c r="C377" s="8"/>
      <c r="D377" s="8"/>
      <c r="E377" s="8"/>
      <c r="F377" s="8"/>
      <c r="S377" s="20"/>
      <c r="AF377" s="1"/>
    </row>
    <row r="378" spans="1:32" x14ac:dyDescent="0.2">
      <c r="A378" s="26"/>
      <c r="C378" s="8"/>
      <c r="D378" s="8"/>
      <c r="E378" s="8"/>
      <c r="F378" s="8"/>
      <c r="S378" s="20"/>
      <c r="AF378" s="1"/>
    </row>
    <row r="379" spans="1:32" x14ac:dyDescent="0.2">
      <c r="A379" s="26"/>
      <c r="C379" s="8"/>
      <c r="D379" s="8"/>
      <c r="E379" s="8"/>
      <c r="F379" s="8"/>
      <c r="S379" s="20"/>
      <c r="AF379" s="1"/>
    </row>
    <row r="380" spans="1:32" x14ac:dyDescent="0.2">
      <c r="A380" s="26"/>
      <c r="C380" s="8"/>
      <c r="D380" s="8"/>
      <c r="E380" s="8"/>
      <c r="F380" s="8"/>
      <c r="S380" s="20"/>
      <c r="AF380" s="1"/>
    </row>
    <row r="381" spans="1:32" x14ac:dyDescent="0.2">
      <c r="A381" s="26"/>
      <c r="C381" s="8"/>
      <c r="D381" s="8"/>
      <c r="E381" s="8"/>
      <c r="F381" s="8"/>
      <c r="S381" s="20"/>
      <c r="AF381" s="1"/>
    </row>
    <row r="382" spans="1:32" x14ac:dyDescent="0.2">
      <c r="A382" s="26"/>
      <c r="C382" s="8"/>
      <c r="D382" s="8"/>
      <c r="E382" s="8"/>
      <c r="F382" s="8"/>
      <c r="S382" s="20"/>
      <c r="AF382" s="1"/>
    </row>
    <row r="383" spans="1:32" x14ac:dyDescent="0.2">
      <c r="A383" s="26"/>
      <c r="C383" s="8"/>
      <c r="D383" s="8"/>
      <c r="E383" s="8"/>
      <c r="F383" s="8"/>
      <c r="S383" s="20"/>
      <c r="AF383" s="1"/>
    </row>
    <row r="384" spans="1:32" x14ac:dyDescent="0.2">
      <c r="A384" s="26"/>
      <c r="C384" s="8"/>
      <c r="D384" s="8"/>
      <c r="E384" s="8"/>
      <c r="F384" s="8"/>
      <c r="S384" s="20"/>
      <c r="AF384" s="1"/>
    </row>
    <row r="385" spans="1:32" x14ac:dyDescent="0.2">
      <c r="A385" s="26"/>
      <c r="C385" s="8"/>
      <c r="D385" s="8"/>
      <c r="E385" s="8"/>
      <c r="F385" s="8"/>
      <c r="S385" s="20"/>
      <c r="AF385" s="1"/>
    </row>
    <row r="386" spans="1:32" x14ac:dyDescent="0.2">
      <c r="A386" s="26"/>
      <c r="C386" s="8"/>
      <c r="D386" s="8"/>
      <c r="E386" s="8"/>
      <c r="F386" s="8"/>
      <c r="S386" s="20"/>
      <c r="AF386" s="1"/>
    </row>
    <row r="387" spans="1:32" x14ac:dyDescent="0.2">
      <c r="A387" s="26"/>
      <c r="C387" s="8"/>
      <c r="D387" s="8"/>
      <c r="E387" s="8"/>
      <c r="F387" s="8"/>
      <c r="S387" s="20"/>
      <c r="AF387" s="1"/>
    </row>
    <row r="388" spans="1:32" x14ac:dyDescent="0.2">
      <c r="A388" s="26"/>
      <c r="C388" s="8"/>
      <c r="D388" s="8"/>
      <c r="E388" s="8"/>
      <c r="F388" s="8"/>
      <c r="S388" s="20"/>
      <c r="AF388" s="1"/>
    </row>
    <row r="389" spans="1:32" x14ac:dyDescent="0.2">
      <c r="A389" s="26"/>
      <c r="C389" s="8"/>
      <c r="D389" s="8"/>
      <c r="E389" s="8"/>
      <c r="F389" s="8"/>
      <c r="S389" s="20"/>
      <c r="AF389" s="1"/>
    </row>
    <row r="390" spans="1:32" x14ac:dyDescent="0.2">
      <c r="A390" s="26"/>
      <c r="C390" s="8"/>
      <c r="D390" s="8"/>
      <c r="E390" s="8"/>
      <c r="F390" s="8"/>
      <c r="S390" s="20"/>
      <c r="AF390" s="1"/>
    </row>
    <row r="391" spans="1:32" x14ac:dyDescent="0.2">
      <c r="A391" s="26"/>
      <c r="C391" s="8"/>
      <c r="D391" s="8"/>
      <c r="E391" s="8"/>
      <c r="F391" s="8"/>
      <c r="S391" s="20"/>
      <c r="AF391" s="1"/>
    </row>
    <row r="392" spans="1:32" x14ac:dyDescent="0.2">
      <c r="A392" s="26"/>
      <c r="C392" s="8"/>
      <c r="D392" s="8"/>
      <c r="E392" s="8"/>
      <c r="F392" s="8"/>
      <c r="S392" s="20"/>
      <c r="AF392" s="1"/>
    </row>
    <row r="393" spans="1:32" x14ac:dyDescent="0.2">
      <c r="A393" s="26"/>
      <c r="C393" s="8"/>
      <c r="D393" s="8"/>
      <c r="E393" s="8"/>
      <c r="F393" s="8"/>
      <c r="S393" s="20"/>
      <c r="AF393" s="1"/>
    </row>
    <row r="394" spans="1:32" x14ac:dyDescent="0.2">
      <c r="A394" s="26"/>
      <c r="C394" s="8"/>
      <c r="D394" s="8"/>
      <c r="E394" s="8"/>
      <c r="F394" s="8"/>
      <c r="S394" s="20"/>
      <c r="AF394" s="1"/>
    </row>
    <row r="395" spans="1:32" x14ac:dyDescent="0.2">
      <c r="A395" s="26"/>
      <c r="C395" s="8"/>
      <c r="D395" s="8"/>
      <c r="E395" s="8"/>
      <c r="F395" s="8"/>
      <c r="S395" s="20"/>
      <c r="AF395" s="1"/>
    </row>
    <row r="396" spans="1:32" x14ac:dyDescent="0.2">
      <c r="A396" s="26"/>
      <c r="C396" s="8"/>
      <c r="D396" s="8"/>
      <c r="E396" s="8"/>
      <c r="F396" s="8"/>
      <c r="S396" s="20"/>
      <c r="AF396" s="1"/>
    </row>
    <row r="397" spans="1:32" x14ac:dyDescent="0.2">
      <c r="A397" s="26"/>
      <c r="C397" s="8"/>
      <c r="D397" s="8"/>
      <c r="E397" s="8"/>
      <c r="F397" s="8"/>
      <c r="S397" s="20"/>
      <c r="AF397" s="1"/>
    </row>
    <row r="398" spans="1:32" x14ac:dyDescent="0.2">
      <c r="A398" s="26"/>
      <c r="C398" s="8"/>
      <c r="D398" s="8"/>
      <c r="E398" s="8"/>
      <c r="F398" s="8"/>
      <c r="S398" s="20"/>
      <c r="AF398" s="1"/>
    </row>
    <row r="399" spans="1:32" x14ac:dyDescent="0.2">
      <c r="A399" s="26"/>
      <c r="C399" s="8"/>
      <c r="D399" s="8"/>
      <c r="E399" s="8"/>
      <c r="F399" s="8"/>
      <c r="S399" s="20"/>
      <c r="AF399" s="1"/>
    </row>
    <row r="400" spans="1:32" x14ac:dyDescent="0.2">
      <c r="A400" s="26"/>
      <c r="C400" s="8"/>
      <c r="D400" s="8"/>
      <c r="E400" s="8"/>
      <c r="F400" s="8"/>
      <c r="S400" s="20"/>
      <c r="AF400" s="1"/>
    </row>
    <row r="401" spans="1:32" x14ac:dyDescent="0.2">
      <c r="A401" s="26"/>
      <c r="C401" s="8"/>
      <c r="D401" s="8"/>
      <c r="E401" s="8"/>
      <c r="F401" s="8"/>
      <c r="S401" s="20"/>
      <c r="AF401" s="1"/>
    </row>
    <row r="402" spans="1:32" x14ac:dyDescent="0.2">
      <c r="A402" s="26"/>
      <c r="C402" s="8"/>
      <c r="D402" s="8"/>
      <c r="E402" s="8"/>
      <c r="F402" s="8"/>
      <c r="S402" s="20"/>
      <c r="AF402" s="1"/>
    </row>
    <row r="403" spans="1:32" x14ac:dyDescent="0.2">
      <c r="A403" s="26"/>
      <c r="C403" s="8"/>
      <c r="D403" s="8"/>
      <c r="E403" s="8"/>
      <c r="F403" s="8"/>
      <c r="S403" s="20"/>
      <c r="AF403" s="1"/>
    </row>
    <row r="404" spans="1:32" x14ac:dyDescent="0.2">
      <c r="A404" s="26"/>
      <c r="C404" s="8"/>
      <c r="D404" s="8"/>
      <c r="E404" s="8"/>
      <c r="F404" s="8"/>
      <c r="S404" s="20"/>
      <c r="AF404" s="1"/>
    </row>
    <row r="405" spans="1:32" x14ac:dyDescent="0.2">
      <c r="A405" s="26"/>
      <c r="C405" s="8"/>
      <c r="D405" s="8"/>
      <c r="E405" s="8"/>
      <c r="F405" s="8"/>
      <c r="S405" s="20"/>
      <c r="AF405" s="1"/>
    </row>
    <row r="406" spans="1:32" x14ac:dyDescent="0.2">
      <c r="A406" s="26"/>
      <c r="C406" s="8"/>
      <c r="D406" s="8"/>
      <c r="E406" s="8"/>
      <c r="F406" s="8"/>
      <c r="S406" s="20"/>
      <c r="AF406" s="1"/>
    </row>
    <row r="407" spans="1:32" x14ac:dyDescent="0.2">
      <c r="A407" s="26"/>
      <c r="C407" s="8"/>
      <c r="D407" s="8"/>
      <c r="E407" s="8"/>
      <c r="F407" s="8"/>
      <c r="S407" s="20"/>
      <c r="AF407" s="1"/>
    </row>
    <row r="408" spans="1:32" x14ac:dyDescent="0.2">
      <c r="A408" s="26"/>
      <c r="C408" s="8"/>
      <c r="D408" s="8"/>
      <c r="E408" s="8"/>
      <c r="F408" s="8"/>
      <c r="S408" s="20"/>
      <c r="AF408" s="1"/>
    </row>
    <row r="409" spans="1:32" x14ac:dyDescent="0.2">
      <c r="A409" s="26"/>
      <c r="C409" s="8"/>
      <c r="D409" s="8"/>
      <c r="E409" s="8"/>
      <c r="F409" s="8"/>
      <c r="S409" s="20"/>
      <c r="AF409" s="1"/>
    </row>
    <row r="410" spans="1:32" x14ac:dyDescent="0.2">
      <c r="A410" s="26"/>
      <c r="C410" s="8"/>
      <c r="D410" s="8"/>
      <c r="E410" s="8"/>
      <c r="F410" s="8"/>
      <c r="S410" s="20"/>
      <c r="AF410" s="1"/>
    </row>
    <row r="411" spans="1:32" x14ac:dyDescent="0.2">
      <c r="A411" s="26"/>
      <c r="C411" s="8"/>
      <c r="D411" s="8"/>
      <c r="E411" s="8"/>
      <c r="F411" s="8"/>
      <c r="S411" s="20"/>
      <c r="AF411" s="1"/>
    </row>
    <row r="412" spans="1:32" x14ac:dyDescent="0.2">
      <c r="A412" s="26"/>
      <c r="C412" s="8"/>
      <c r="D412" s="8"/>
      <c r="E412" s="8"/>
      <c r="F412" s="8"/>
      <c r="S412" s="20"/>
      <c r="AF412" s="1"/>
    </row>
    <row r="413" spans="1:32" x14ac:dyDescent="0.2">
      <c r="A413" s="26"/>
      <c r="C413" s="8"/>
      <c r="D413" s="8"/>
      <c r="E413" s="8"/>
      <c r="F413" s="8"/>
      <c r="S413" s="20"/>
      <c r="AF413" s="1"/>
    </row>
    <row r="414" spans="1:32" x14ac:dyDescent="0.2">
      <c r="A414" s="26"/>
      <c r="C414" s="8"/>
      <c r="D414" s="8"/>
      <c r="E414" s="8"/>
      <c r="F414" s="8"/>
      <c r="S414" s="20"/>
      <c r="AF414" s="1"/>
    </row>
    <row r="415" spans="1:32" x14ac:dyDescent="0.2">
      <c r="A415" s="26"/>
      <c r="C415" s="8"/>
      <c r="D415" s="8"/>
      <c r="E415" s="8"/>
      <c r="F415" s="8"/>
      <c r="S415" s="20"/>
      <c r="AF415" s="1"/>
    </row>
    <row r="416" spans="1:32" x14ac:dyDescent="0.2">
      <c r="A416" s="26"/>
      <c r="C416" s="8"/>
      <c r="D416" s="8"/>
      <c r="E416" s="8"/>
      <c r="F416" s="8"/>
      <c r="S416" s="20"/>
      <c r="AF416" s="1"/>
    </row>
    <row r="417" spans="1:32" x14ac:dyDescent="0.2">
      <c r="A417" s="26"/>
      <c r="C417" s="8"/>
      <c r="D417" s="8"/>
      <c r="E417" s="8"/>
      <c r="F417" s="8"/>
      <c r="S417" s="20"/>
      <c r="AF417" s="1"/>
    </row>
    <row r="418" spans="1:32" x14ac:dyDescent="0.2">
      <c r="A418" s="26"/>
      <c r="C418" s="8"/>
      <c r="D418" s="8"/>
      <c r="E418" s="8"/>
      <c r="F418" s="8"/>
      <c r="S418" s="20"/>
      <c r="AF418" s="1"/>
    </row>
    <row r="419" spans="1:32" x14ac:dyDescent="0.2">
      <c r="A419" s="26"/>
      <c r="C419" s="8"/>
      <c r="D419" s="8"/>
      <c r="E419" s="8"/>
      <c r="F419" s="8"/>
      <c r="S419" s="20"/>
      <c r="AF419" s="1"/>
    </row>
    <row r="420" spans="1:32" x14ac:dyDescent="0.2">
      <c r="A420" s="26"/>
      <c r="C420" s="8"/>
      <c r="D420" s="8"/>
      <c r="E420" s="8"/>
      <c r="F420" s="8"/>
      <c r="S420" s="20"/>
      <c r="AF420" s="1"/>
    </row>
    <row r="421" spans="1:32" x14ac:dyDescent="0.2">
      <c r="A421" s="26"/>
      <c r="C421" s="8"/>
      <c r="D421" s="8"/>
      <c r="E421" s="8"/>
      <c r="F421" s="8"/>
      <c r="S421" s="20"/>
      <c r="AF421" s="1"/>
    </row>
    <row r="422" spans="1:32" x14ac:dyDescent="0.2">
      <c r="A422" s="26"/>
      <c r="C422" s="8"/>
      <c r="D422" s="8"/>
      <c r="E422" s="8"/>
      <c r="F422" s="8"/>
      <c r="S422" s="20"/>
      <c r="AF422" s="1"/>
    </row>
    <row r="423" spans="1:32" x14ac:dyDescent="0.2">
      <c r="A423" s="26"/>
      <c r="C423" s="8"/>
      <c r="D423" s="8"/>
      <c r="E423" s="8"/>
      <c r="F423" s="8"/>
      <c r="S423" s="20"/>
      <c r="AF423" s="1"/>
    </row>
    <row r="424" spans="1:32" x14ac:dyDescent="0.2">
      <c r="A424" s="26"/>
      <c r="C424" s="8"/>
      <c r="D424" s="8"/>
      <c r="E424" s="8"/>
      <c r="F424" s="8"/>
      <c r="S424" s="20"/>
      <c r="AF424" s="1"/>
    </row>
    <row r="425" spans="1:32" x14ac:dyDescent="0.2">
      <c r="A425" s="26"/>
      <c r="C425" s="8"/>
      <c r="D425" s="8"/>
      <c r="E425" s="8"/>
      <c r="F425" s="8"/>
      <c r="S425" s="20"/>
      <c r="AF425" s="1"/>
    </row>
    <row r="426" spans="1:32" x14ac:dyDescent="0.2">
      <c r="A426" s="26"/>
      <c r="C426" s="8"/>
      <c r="D426" s="8"/>
      <c r="E426" s="8"/>
      <c r="F426" s="8"/>
      <c r="S426" s="20"/>
      <c r="AF426" s="1"/>
    </row>
    <row r="427" spans="1:32" x14ac:dyDescent="0.2">
      <c r="A427" s="26"/>
      <c r="C427" s="8"/>
      <c r="D427" s="8"/>
      <c r="E427" s="8"/>
      <c r="F427" s="8"/>
      <c r="S427" s="20"/>
      <c r="AF427" s="1"/>
    </row>
    <row r="428" spans="1:32" x14ac:dyDescent="0.2">
      <c r="A428" s="26"/>
      <c r="C428" s="8"/>
      <c r="D428" s="8"/>
      <c r="E428" s="8"/>
      <c r="F428" s="8"/>
      <c r="S428" s="20"/>
      <c r="AF428" s="1"/>
    </row>
    <row r="429" spans="1:32" x14ac:dyDescent="0.2">
      <c r="A429" s="26"/>
      <c r="C429" s="8"/>
      <c r="D429" s="8"/>
      <c r="E429" s="8"/>
      <c r="F429" s="8"/>
      <c r="S429" s="20"/>
      <c r="AF429" s="1"/>
    </row>
    <row r="430" spans="1:32" x14ac:dyDescent="0.2">
      <c r="A430" s="26"/>
      <c r="C430" s="8"/>
      <c r="D430" s="8"/>
      <c r="E430" s="8"/>
      <c r="F430" s="8"/>
      <c r="S430" s="20"/>
      <c r="AF430" s="1"/>
    </row>
    <row r="431" spans="1:32" x14ac:dyDescent="0.2">
      <c r="A431" s="26"/>
      <c r="C431" s="8"/>
      <c r="D431" s="8"/>
      <c r="E431" s="8"/>
      <c r="F431" s="8"/>
      <c r="S431" s="20"/>
      <c r="AF431" s="1"/>
    </row>
    <row r="432" spans="1:32" x14ac:dyDescent="0.2">
      <c r="A432" s="26"/>
      <c r="C432" s="8"/>
      <c r="D432" s="8"/>
      <c r="E432" s="8"/>
      <c r="F432" s="8"/>
      <c r="S432" s="20"/>
      <c r="AF432" s="1"/>
    </row>
    <row r="433" spans="1:32" x14ac:dyDescent="0.2">
      <c r="A433" s="26"/>
      <c r="C433" s="8"/>
      <c r="D433" s="8"/>
      <c r="E433" s="8"/>
      <c r="F433" s="8"/>
      <c r="S433" s="20"/>
      <c r="AF433" s="1"/>
    </row>
    <row r="434" spans="1:32" x14ac:dyDescent="0.2">
      <c r="A434" s="26"/>
      <c r="C434" s="8"/>
      <c r="D434" s="8"/>
      <c r="E434" s="8"/>
      <c r="F434" s="8"/>
      <c r="S434" s="20"/>
      <c r="AF434" s="1"/>
    </row>
    <row r="435" spans="1:32" x14ac:dyDescent="0.2">
      <c r="A435" s="26"/>
      <c r="C435" s="8"/>
      <c r="D435" s="8"/>
      <c r="E435" s="8"/>
      <c r="F435" s="8"/>
      <c r="S435" s="20"/>
      <c r="AF435" s="1"/>
    </row>
    <row r="436" spans="1:32" x14ac:dyDescent="0.2">
      <c r="A436" s="26"/>
      <c r="C436" s="8"/>
      <c r="D436" s="8"/>
      <c r="E436" s="8"/>
      <c r="F436" s="8"/>
      <c r="S436" s="20"/>
      <c r="AF436" s="1"/>
    </row>
    <row r="437" spans="1:32" x14ac:dyDescent="0.2">
      <c r="A437" s="26"/>
      <c r="C437" s="8"/>
      <c r="D437" s="8"/>
      <c r="E437" s="8"/>
      <c r="F437" s="8"/>
      <c r="S437" s="20"/>
      <c r="AF437" s="1"/>
    </row>
    <row r="438" spans="1:32" x14ac:dyDescent="0.2">
      <c r="A438" s="26"/>
      <c r="C438" s="8"/>
      <c r="D438" s="8"/>
      <c r="E438" s="8"/>
      <c r="F438" s="8"/>
      <c r="S438" s="20"/>
      <c r="AF438" s="1"/>
    </row>
    <row r="439" spans="1:32" x14ac:dyDescent="0.2">
      <c r="A439" s="26"/>
      <c r="C439" s="8"/>
      <c r="D439" s="8"/>
      <c r="E439" s="8"/>
      <c r="F439" s="8"/>
      <c r="S439" s="20"/>
      <c r="AF439" s="1"/>
    </row>
    <row r="440" spans="1:32" x14ac:dyDescent="0.2">
      <c r="A440" s="26"/>
      <c r="C440" s="8"/>
      <c r="D440" s="8"/>
      <c r="E440" s="8"/>
      <c r="F440" s="8"/>
      <c r="S440" s="20"/>
      <c r="AF440" s="1"/>
    </row>
    <row r="441" spans="1:32" x14ac:dyDescent="0.2">
      <c r="A441" s="26"/>
      <c r="C441" s="8"/>
      <c r="D441" s="8"/>
      <c r="E441" s="8"/>
      <c r="F441" s="8"/>
      <c r="S441" s="20"/>
      <c r="AF441" s="1"/>
    </row>
    <row r="442" spans="1:32" x14ac:dyDescent="0.2">
      <c r="A442" s="26"/>
      <c r="C442" s="8"/>
      <c r="D442" s="8"/>
      <c r="E442" s="8"/>
      <c r="F442" s="8"/>
      <c r="S442" s="20"/>
      <c r="AF442" s="1"/>
    </row>
    <row r="443" spans="1:32" x14ac:dyDescent="0.2">
      <c r="A443" s="26"/>
      <c r="C443" s="8"/>
      <c r="D443" s="8"/>
      <c r="E443" s="8"/>
      <c r="F443" s="8"/>
      <c r="S443" s="20"/>
      <c r="AF443" s="1"/>
    </row>
    <row r="444" spans="1:32" x14ac:dyDescent="0.2">
      <c r="A444" s="26"/>
      <c r="C444" s="8"/>
      <c r="D444" s="8"/>
      <c r="E444" s="8"/>
      <c r="F444" s="8"/>
      <c r="S444" s="20"/>
      <c r="AF444" s="1"/>
    </row>
    <row r="445" spans="1:32" x14ac:dyDescent="0.2">
      <c r="A445" s="26"/>
      <c r="C445" s="8"/>
      <c r="D445" s="8"/>
      <c r="E445" s="8"/>
      <c r="F445" s="8"/>
      <c r="S445" s="20"/>
      <c r="AF445" s="1"/>
    </row>
    <row r="446" spans="1:32" x14ac:dyDescent="0.2">
      <c r="A446" s="26"/>
      <c r="C446" s="8"/>
      <c r="D446" s="8"/>
      <c r="E446" s="8"/>
      <c r="F446" s="8"/>
      <c r="S446" s="20"/>
      <c r="AF446" s="1"/>
    </row>
    <row r="447" spans="1:32" x14ac:dyDescent="0.2">
      <c r="A447" s="26"/>
      <c r="C447" s="8"/>
      <c r="D447" s="8"/>
      <c r="E447" s="8"/>
      <c r="F447" s="8"/>
      <c r="S447" s="20"/>
      <c r="AF447" s="1"/>
    </row>
    <row r="448" spans="1:32" x14ac:dyDescent="0.2">
      <c r="A448" s="26"/>
      <c r="C448" s="8"/>
      <c r="D448" s="8"/>
      <c r="E448" s="8"/>
      <c r="F448" s="8"/>
      <c r="S448" s="20"/>
      <c r="AF448" s="1"/>
    </row>
    <row r="449" spans="1:32" x14ac:dyDescent="0.2">
      <c r="A449" s="26"/>
      <c r="C449" s="8"/>
      <c r="D449" s="8"/>
      <c r="E449" s="8"/>
      <c r="F449" s="8"/>
      <c r="S449" s="20"/>
      <c r="AF449" s="1"/>
    </row>
    <row r="450" spans="1:32" x14ac:dyDescent="0.2">
      <c r="A450" s="26"/>
      <c r="C450" s="8"/>
      <c r="D450" s="8"/>
      <c r="E450" s="8"/>
      <c r="F450" s="8"/>
      <c r="S450" s="20"/>
      <c r="AF450" s="1"/>
    </row>
    <row r="451" spans="1:32" x14ac:dyDescent="0.2">
      <c r="A451" s="26"/>
      <c r="C451" s="8"/>
      <c r="D451" s="8"/>
      <c r="E451" s="8"/>
      <c r="F451" s="8"/>
      <c r="S451" s="20"/>
      <c r="AF451" s="1"/>
    </row>
    <row r="452" spans="1:32" x14ac:dyDescent="0.2">
      <c r="A452" s="26"/>
      <c r="C452" s="8"/>
      <c r="D452" s="8"/>
      <c r="E452" s="8"/>
      <c r="F452" s="8"/>
      <c r="S452" s="20"/>
      <c r="AF452" s="1"/>
    </row>
    <row r="453" spans="1:32" x14ac:dyDescent="0.2">
      <c r="A453" s="26"/>
      <c r="C453" s="8"/>
      <c r="D453" s="8"/>
      <c r="E453" s="8"/>
      <c r="F453" s="8"/>
      <c r="S453" s="20"/>
      <c r="AF453" s="1"/>
    </row>
    <row r="454" spans="1:32" x14ac:dyDescent="0.2">
      <c r="A454" s="26"/>
      <c r="C454" s="8"/>
      <c r="D454" s="8"/>
      <c r="E454" s="8"/>
      <c r="F454" s="8"/>
      <c r="S454" s="20"/>
      <c r="AF454" s="1"/>
    </row>
    <row r="455" spans="1:32" x14ac:dyDescent="0.2">
      <c r="A455" s="26"/>
      <c r="C455" s="8"/>
      <c r="D455" s="8"/>
      <c r="E455" s="8"/>
      <c r="F455" s="8"/>
      <c r="S455" s="20"/>
      <c r="AF455" s="1"/>
    </row>
    <row r="456" spans="1:32" x14ac:dyDescent="0.2">
      <c r="A456" s="26"/>
      <c r="C456" s="8"/>
      <c r="D456" s="8"/>
      <c r="E456" s="8"/>
      <c r="F456" s="8"/>
      <c r="S456" s="20"/>
      <c r="AF456" s="1"/>
    </row>
    <row r="457" spans="1:32" x14ac:dyDescent="0.2">
      <c r="A457" s="26"/>
      <c r="C457" s="8"/>
      <c r="D457" s="8"/>
      <c r="E457" s="8"/>
      <c r="F457" s="8"/>
      <c r="S457" s="20"/>
      <c r="AF457" s="1"/>
    </row>
    <row r="458" spans="1:32" x14ac:dyDescent="0.2">
      <c r="A458" s="26"/>
      <c r="C458" s="8"/>
      <c r="D458" s="8"/>
      <c r="E458" s="8"/>
      <c r="F458" s="8"/>
      <c r="S458" s="20"/>
      <c r="AF458" s="1"/>
    </row>
    <row r="459" spans="1:32" x14ac:dyDescent="0.2">
      <c r="A459" s="26"/>
      <c r="C459" s="8"/>
      <c r="D459" s="8"/>
      <c r="E459" s="8"/>
      <c r="F459" s="8"/>
      <c r="S459" s="20"/>
      <c r="AF459" s="1"/>
    </row>
    <row r="460" spans="1:32" x14ac:dyDescent="0.2">
      <c r="A460" s="26"/>
      <c r="C460" s="8"/>
      <c r="D460" s="8"/>
      <c r="E460" s="8"/>
      <c r="F460" s="8"/>
      <c r="S460" s="20"/>
      <c r="AF460" s="1"/>
    </row>
    <row r="461" spans="1:32" x14ac:dyDescent="0.2">
      <c r="A461" s="26"/>
      <c r="C461" s="8"/>
      <c r="D461" s="8"/>
      <c r="E461" s="8"/>
      <c r="F461" s="8"/>
      <c r="S461" s="20"/>
      <c r="AF461" s="1"/>
    </row>
    <row r="462" spans="1:32" x14ac:dyDescent="0.2">
      <c r="A462" s="26"/>
      <c r="C462" s="8"/>
      <c r="D462" s="8"/>
      <c r="E462" s="8"/>
      <c r="F462" s="8"/>
      <c r="S462" s="20"/>
      <c r="AF462" s="1"/>
    </row>
    <row r="463" spans="1:32" x14ac:dyDescent="0.2">
      <c r="A463" s="26"/>
      <c r="C463" s="8"/>
      <c r="D463" s="8"/>
      <c r="E463" s="8"/>
      <c r="F463" s="8"/>
      <c r="S463" s="20"/>
      <c r="AF463" s="1"/>
    </row>
    <row r="464" spans="1:32" x14ac:dyDescent="0.2">
      <c r="A464" s="26"/>
      <c r="C464" s="8"/>
      <c r="D464" s="8"/>
      <c r="E464" s="8"/>
      <c r="F464" s="8"/>
      <c r="S464" s="20"/>
      <c r="AF464" s="1"/>
    </row>
    <row r="465" spans="1:32" x14ac:dyDescent="0.2">
      <c r="A465" s="26"/>
      <c r="C465" s="8"/>
      <c r="D465" s="8"/>
      <c r="E465" s="8"/>
      <c r="F465" s="8"/>
      <c r="S465" s="20"/>
      <c r="AF465" s="1"/>
    </row>
    <row r="466" spans="1:32" x14ac:dyDescent="0.2">
      <c r="A466" s="26"/>
      <c r="C466" s="8"/>
      <c r="D466" s="8"/>
      <c r="E466" s="8"/>
      <c r="F466" s="8"/>
      <c r="S466" s="20"/>
      <c r="AF466" s="1"/>
    </row>
    <row r="467" spans="1:32" x14ac:dyDescent="0.2">
      <c r="A467" s="26"/>
      <c r="C467" s="8"/>
      <c r="D467" s="8"/>
      <c r="E467" s="8"/>
      <c r="F467" s="8"/>
      <c r="S467" s="20"/>
      <c r="AF467" s="1"/>
    </row>
    <row r="468" spans="1:32" x14ac:dyDescent="0.2">
      <c r="A468" s="26"/>
      <c r="C468" s="8"/>
      <c r="D468" s="8"/>
      <c r="E468" s="8"/>
      <c r="F468" s="8"/>
      <c r="S468" s="20"/>
      <c r="AF468" s="1"/>
    </row>
    <row r="469" spans="1:32" x14ac:dyDescent="0.2">
      <c r="A469" s="26"/>
      <c r="C469" s="8"/>
      <c r="D469" s="8"/>
      <c r="E469" s="8"/>
      <c r="F469" s="8"/>
      <c r="S469" s="20"/>
      <c r="AF469" s="1"/>
    </row>
    <row r="470" spans="1:32" x14ac:dyDescent="0.2">
      <c r="A470" s="26"/>
      <c r="C470" s="8"/>
      <c r="D470" s="8"/>
      <c r="E470" s="8"/>
      <c r="F470" s="8"/>
      <c r="S470" s="20"/>
      <c r="AF470" s="1"/>
    </row>
    <row r="471" spans="1:32" x14ac:dyDescent="0.2">
      <c r="A471" s="26"/>
      <c r="C471" s="8"/>
      <c r="D471" s="8"/>
      <c r="E471" s="8"/>
      <c r="F471" s="8"/>
      <c r="S471" s="20"/>
      <c r="AF471" s="1"/>
    </row>
    <row r="472" spans="1:32" x14ac:dyDescent="0.2">
      <c r="A472" s="26"/>
      <c r="C472" s="8"/>
      <c r="D472" s="8"/>
      <c r="E472" s="8"/>
      <c r="F472" s="8"/>
      <c r="S472" s="20"/>
      <c r="AF472" s="1"/>
    </row>
    <row r="473" spans="1:32" x14ac:dyDescent="0.2">
      <c r="A473" s="26"/>
      <c r="C473" s="8"/>
      <c r="D473" s="8"/>
      <c r="E473" s="8"/>
      <c r="F473" s="8"/>
      <c r="S473" s="20"/>
      <c r="AF473" s="1"/>
    </row>
    <row r="474" spans="1:32" x14ac:dyDescent="0.2">
      <c r="A474" s="26"/>
      <c r="C474" s="8"/>
      <c r="D474" s="8"/>
      <c r="E474" s="8"/>
      <c r="F474" s="8"/>
      <c r="S474" s="20"/>
      <c r="AF474" s="1"/>
    </row>
    <row r="475" spans="1:32" x14ac:dyDescent="0.2">
      <c r="A475" s="26"/>
      <c r="C475" s="8"/>
      <c r="D475" s="8"/>
      <c r="E475" s="8"/>
      <c r="F475" s="8"/>
      <c r="S475" s="20"/>
      <c r="AF475" s="1"/>
    </row>
    <row r="476" spans="1:32" x14ac:dyDescent="0.2">
      <c r="A476" s="26"/>
      <c r="C476" s="8"/>
      <c r="D476" s="8"/>
      <c r="E476" s="8"/>
      <c r="F476" s="8"/>
      <c r="S476" s="20"/>
      <c r="AF476" s="1"/>
    </row>
    <row r="477" spans="1:32" x14ac:dyDescent="0.2">
      <c r="A477" s="26"/>
      <c r="C477" s="8"/>
      <c r="D477" s="8"/>
      <c r="E477" s="8"/>
      <c r="F477" s="8"/>
      <c r="S477" s="20"/>
      <c r="AF477" s="1"/>
    </row>
    <row r="478" spans="1:32" x14ac:dyDescent="0.2">
      <c r="A478" s="26"/>
      <c r="C478" s="8"/>
      <c r="D478" s="8"/>
      <c r="E478" s="8"/>
      <c r="F478" s="8"/>
      <c r="S478" s="20"/>
      <c r="AF478" s="1"/>
    </row>
    <row r="479" spans="1:32" x14ac:dyDescent="0.2">
      <c r="A479" s="26"/>
      <c r="C479" s="8"/>
      <c r="D479" s="8"/>
      <c r="E479" s="8"/>
      <c r="F479" s="8"/>
      <c r="S479" s="20"/>
      <c r="AF479" s="1"/>
    </row>
    <row r="480" spans="1:32" x14ac:dyDescent="0.2">
      <c r="A480" s="26"/>
      <c r="C480" s="8"/>
      <c r="D480" s="8"/>
      <c r="E480" s="8"/>
      <c r="F480" s="8"/>
      <c r="S480" s="20"/>
      <c r="AF480" s="1"/>
    </row>
    <row r="481" spans="1:32" x14ac:dyDescent="0.2">
      <c r="A481" s="26"/>
      <c r="C481" s="8"/>
      <c r="D481" s="8"/>
      <c r="E481" s="8"/>
      <c r="F481" s="8"/>
      <c r="S481" s="20"/>
      <c r="AF481" s="1"/>
    </row>
    <row r="482" spans="1:32" x14ac:dyDescent="0.2">
      <c r="A482" s="26"/>
      <c r="C482" s="8"/>
      <c r="D482" s="8"/>
      <c r="E482" s="8"/>
      <c r="F482" s="8"/>
      <c r="S482" s="20"/>
      <c r="AF482" s="1"/>
    </row>
    <row r="483" spans="1:32" x14ac:dyDescent="0.2">
      <c r="A483" s="26"/>
      <c r="C483" s="8"/>
      <c r="D483" s="8"/>
      <c r="E483" s="8"/>
      <c r="F483" s="8"/>
      <c r="S483" s="20"/>
      <c r="AF483" s="1"/>
    </row>
    <row r="484" spans="1:32" x14ac:dyDescent="0.2">
      <c r="A484" s="26"/>
      <c r="C484" s="8"/>
      <c r="D484" s="8"/>
      <c r="E484" s="8"/>
      <c r="F484" s="8"/>
      <c r="S484" s="20"/>
      <c r="AF484" s="1"/>
    </row>
    <row r="485" spans="1:32" x14ac:dyDescent="0.2">
      <c r="A485" s="26"/>
      <c r="C485" s="8"/>
      <c r="D485" s="8"/>
      <c r="E485" s="8"/>
      <c r="F485" s="8"/>
      <c r="S485" s="20"/>
      <c r="AF485" s="1"/>
    </row>
    <row r="486" spans="1:32" x14ac:dyDescent="0.2">
      <c r="A486" s="26"/>
      <c r="C486" s="8"/>
      <c r="D486" s="8"/>
      <c r="E486" s="8"/>
      <c r="F486" s="8"/>
      <c r="S486" s="20"/>
      <c r="AF486" s="1"/>
    </row>
    <row r="487" spans="1:32" x14ac:dyDescent="0.2">
      <c r="A487" s="26"/>
      <c r="C487" s="8"/>
      <c r="D487" s="8"/>
      <c r="E487" s="8"/>
      <c r="F487" s="8"/>
      <c r="S487" s="20"/>
      <c r="AF487" s="1"/>
    </row>
    <row r="488" spans="1:32" x14ac:dyDescent="0.2">
      <c r="A488" s="26"/>
      <c r="C488" s="8"/>
      <c r="D488" s="8"/>
      <c r="E488" s="8"/>
      <c r="F488" s="8"/>
      <c r="S488" s="20"/>
      <c r="AF488" s="1"/>
    </row>
    <row r="489" spans="1:32" x14ac:dyDescent="0.2">
      <c r="A489" s="26"/>
      <c r="C489" s="8"/>
      <c r="D489" s="8"/>
      <c r="E489" s="8"/>
      <c r="F489" s="8"/>
      <c r="S489" s="20"/>
      <c r="AF489" s="1"/>
    </row>
    <row r="490" spans="1:32" x14ac:dyDescent="0.2">
      <c r="A490" s="26"/>
      <c r="C490" s="8"/>
      <c r="D490" s="8"/>
      <c r="E490" s="8"/>
      <c r="F490" s="8"/>
      <c r="S490" s="20"/>
      <c r="AF490" s="1"/>
    </row>
    <row r="491" spans="1:32" x14ac:dyDescent="0.2">
      <c r="A491" s="26"/>
      <c r="C491" s="8"/>
      <c r="D491" s="8"/>
      <c r="E491" s="8"/>
      <c r="F491" s="8"/>
      <c r="S491" s="20"/>
      <c r="AF491" s="1"/>
    </row>
    <row r="492" spans="1:32" x14ac:dyDescent="0.2">
      <c r="A492" s="26"/>
      <c r="C492" s="8"/>
      <c r="D492" s="8"/>
      <c r="E492" s="8"/>
      <c r="F492" s="8"/>
      <c r="S492" s="20"/>
      <c r="AF492" s="1"/>
    </row>
    <row r="493" spans="1:32" x14ac:dyDescent="0.2">
      <c r="A493" s="26"/>
      <c r="C493" s="8"/>
      <c r="D493" s="8"/>
      <c r="E493" s="8"/>
      <c r="F493" s="8"/>
      <c r="S493" s="20"/>
      <c r="AF493" s="1"/>
    </row>
    <row r="494" spans="1:32" x14ac:dyDescent="0.2">
      <c r="A494" s="26"/>
      <c r="C494" s="8"/>
      <c r="D494" s="8"/>
      <c r="E494" s="8"/>
      <c r="F494" s="8"/>
      <c r="S494" s="20"/>
      <c r="AF494" s="1"/>
    </row>
    <row r="495" spans="1:32" x14ac:dyDescent="0.2">
      <c r="A495" s="26"/>
      <c r="C495" s="8"/>
      <c r="D495" s="8"/>
      <c r="E495" s="8"/>
      <c r="F495" s="8"/>
      <c r="S495" s="20"/>
      <c r="AF495" s="1"/>
    </row>
    <row r="496" spans="1:32" x14ac:dyDescent="0.2">
      <c r="A496" s="26"/>
      <c r="C496" s="8"/>
      <c r="D496" s="8"/>
      <c r="E496" s="8"/>
      <c r="F496" s="8"/>
      <c r="S496" s="20"/>
      <c r="AF496" s="1"/>
    </row>
    <row r="497" spans="1:32" x14ac:dyDescent="0.2">
      <c r="A497" s="26"/>
      <c r="C497" s="8"/>
      <c r="D497" s="8"/>
      <c r="E497" s="8"/>
      <c r="F497" s="8"/>
      <c r="S497" s="20"/>
      <c r="AF497" s="1"/>
    </row>
    <row r="498" spans="1:32" x14ac:dyDescent="0.2">
      <c r="A498" s="26"/>
      <c r="C498" s="8"/>
      <c r="D498" s="8"/>
      <c r="E498" s="8"/>
      <c r="F498" s="8"/>
      <c r="S498" s="20"/>
      <c r="AF498" s="1"/>
    </row>
    <row r="499" spans="1:32" x14ac:dyDescent="0.2">
      <c r="A499" s="26"/>
      <c r="C499" s="8"/>
      <c r="D499" s="8"/>
      <c r="E499" s="8"/>
      <c r="F499" s="8"/>
      <c r="S499" s="20"/>
      <c r="AF499" s="1"/>
    </row>
    <row r="500" spans="1:32" x14ac:dyDescent="0.2">
      <c r="A500" s="26"/>
      <c r="C500" s="8"/>
      <c r="D500" s="8"/>
      <c r="E500" s="8"/>
      <c r="F500" s="8"/>
      <c r="S500" s="20"/>
      <c r="AF500" s="1"/>
    </row>
    <row r="501" spans="1:32" x14ac:dyDescent="0.2">
      <c r="A501" s="26"/>
      <c r="C501" s="8"/>
      <c r="D501" s="8"/>
      <c r="E501" s="8"/>
      <c r="F501" s="8"/>
      <c r="S501" s="20"/>
      <c r="AF501" s="1"/>
    </row>
    <row r="502" spans="1:32" x14ac:dyDescent="0.2">
      <c r="A502" s="26"/>
      <c r="C502" s="8"/>
      <c r="D502" s="8"/>
      <c r="E502" s="8"/>
      <c r="F502" s="8"/>
      <c r="S502" s="20"/>
      <c r="AF502" s="1"/>
    </row>
    <row r="503" spans="1:32" x14ac:dyDescent="0.2">
      <c r="A503" s="26"/>
      <c r="C503" s="8"/>
      <c r="D503" s="8"/>
      <c r="E503" s="8"/>
      <c r="F503" s="8"/>
      <c r="S503" s="20"/>
      <c r="AF503" s="1"/>
    </row>
    <row r="504" spans="1:32" x14ac:dyDescent="0.2">
      <c r="A504" s="26"/>
      <c r="C504" s="8"/>
      <c r="D504" s="8"/>
      <c r="E504" s="8"/>
      <c r="F504" s="8"/>
      <c r="S504" s="20"/>
      <c r="AF504" s="1"/>
    </row>
    <row r="505" spans="1:32" x14ac:dyDescent="0.2">
      <c r="A505" s="26"/>
      <c r="C505" s="8"/>
      <c r="D505" s="8"/>
      <c r="E505" s="8"/>
      <c r="F505" s="8"/>
      <c r="S505" s="20"/>
      <c r="AF505" s="1"/>
    </row>
    <row r="506" spans="1:32" x14ac:dyDescent="0.2">
      <c r="A506" s="26"/>
      <c r="C506" s="8"/>
      <c r="D506" s="8"/>
      <c r="E506" s="8"/>
      <c r="F506" s="8"/>
      <c r="S506" s="20"/>
      <c r="AF506" s="1"/>
    </row>
    <row r="507" spans="1:32" x14ac:dyDescent="0.2">
      <c r="A507" s="26"/>
      <c r="C507" s="8"/>
      <c r="D507" s="8"/>
      <c r="E507" s="8"/>
      <c r="F507" s="8"/>
      <c r="S507" s="20"/>
      <c r="AF507" s="1"/>
    </row>
    <row r="508" spans="1:32" x14ac:dyDescent="0.2">
      <c r="A508" s="26"/>
      <c r="C508" s="8"/>
      <c r="D508" s="8"/>
      <c r="E508" s="8"/>
      <c r="F508" s="8"/>
      <c r="S508" s="20"/>
      <c r="AF508" s="1"/>
    </row>
    <row r="509" spans="1:32" x14ac:dyDescent="0.2">
      <c r="A509" s="26"/>
      <c r="C509" s="8"/>
      <c r="D509" s="8"/>
      <c r="E509" s="8"/>
      <c r="F509" s="8"/>
      <c r="S509" s="20"/>
      <c r="AF509" s="1"/>
    </row>
    <row r="510" spans="1:32" x14ac:dyDescent="0.2">
      <c r="A510" s="26"/>
      <c r="C510" s="8"/>
      <c r="D510" s="8"/>
      <c r="E510" s="8"/>
      <c r="F510" s="8"/>
      <c r="S510" s="20"/>
      <c r="AF510" s="1"/>
    </row>
    <row r="511" spans="1:32" x14ac:dyDescent="0.2">
      <c r="A511" s="26"/>
      <c r="C511" s="8"/>
      <c r="D511" s="8"/>
      <c r="E511" s="8"/>
      <c r="F511" s="8"/>
      <c r="S511" s="20"/>
      <c r="AF511" s="1"/>
    </row>
    <row r="512" spans="1:32" x14ac:dyDescent="0.2">
      <c r="A512" s="26"/>
      <c r="C512" s="8"/>
      <c r="D512" s="8"/>
      <c r="E512" s="8"/>
      <c r="F512" s="8"/>
      <c r="S512" s="20"/>
      <c r="AF512" s="1"/>
    </row>
    <row r="513" spans="1:32" x14ac:dyDescent="0.2">
      <c r="A513" s="26"/>
      <c r="C513" s="8"/>
      <c r="D513" s="8"/>
      <c r="E513" s="8"/>
      <c r="F513" s="8"/>
      <c r="S513" s="20"/>
      <c r="AF513" s="1"/>
    </row>
    <row r="514" spans="1:32" x14ac:dyDescent="0.2">
      <c r="A514" s="26"/>
      <c r="C514" s="8"/>
      <c r="D514" s="8"/>
      <c r="E514" s="8"/>
      <c r="F514" s="8"/>
      <c r="S514" s="20"/>
      <c r="AF514" s="1"/>
    </row>
    <row r="515" spans="1:32" x14ac:dyDescent="0.2">
      <c r="A515" s="26"/>
      <c r="C515" s="8"/>
      <c r="D515" s="8"/>
      <c r="E515" s="8"/>
      <c r="F515" s="8"/>
      <c r="S515" s="20"/>
      <c r="AF515" s="1"/>
    </row>
    <row r="516" spans="1:32" x14ac:dyDescent="0.2">
      <c r="A516" s="26"/>
      <c r="C516" s="8"/>
      <c r="D516" s="8"/>
      <c r="E516" s="8"/>
      <c r="F516" s="8"/>
      <c r="S516" s="20"/>
      <c r="AF516" s="1"/>
    </row>
    <row r="517" spans="1:32" x14ac:dyDescent="0.2">
      <c r="A517" s="26"/>
      <c r="C517" s="8"/>
      <c r="D517" s="8"/>
      <c r="E517" s="8"/>
      <c r="F517" s="8"/>
      <c r="S517" s="20"/>
      <c r="AF517" s="1"/>
    </row>
    <row r="518" spans="1:32" x14ac:dyDescent="0.2">
      <c r="A518" s="26"/>
      <c r="C518" s="8"/>
      <c r="D518" s="8"/>
      <c r="E518" s="8"/>
      <c r="F518" s="8"/>
      <c r="S518" s="20"/>
      <c r="AF518" s="1"/>
    </row>
    <row r="519" spans="1:32" x14ac:dyDescent="0.2">
      <c r="A519" s="26"/>
      <c r="C519" s="8"/>
      <c r="D519" s="8"/>
      <c r="E519" s="8"/>
      <c r="F519" s="8"/>
      <c r="S519" s="20"/>
      <c r="AF519" s="1"/>
    </row>
    <row r="520" spans="1:32" x14ac:dyDescent="0.2">
      <c r="A520" s="26"/>
      <c r="C520" s="8"/>
      <c r="D520" s="8"/>
      <c r="E520" s="8"/>
      <c r="F520" s="8"/>
      <c r="S520" s="20"/>
      <c r="AF520" s="1"/>
    </row>
    <row r="521" spans="1:32" x14ac:dyDescent="0.2">
      <c r="A521" s="26"/>
      <c r="C521" s="8"/>
      <c r="D521" s="8"/>
      <c r="E521" s="8"/>
      <c r="F521" s="8"/>
      <c r="S521" s="20"/>
      <c r="AF521" s="1"/>
    </row>
    <row r="522" spans="1:32" x14ac:dyDescent="0.2">
      <c r="A522" s="26"/>
      <c r="C522" s="8"/>
      <c r="D522" s="8"/>
      <c r="E522" s="8"/>
      <c r="F522" s="8"/>
      <c r="S522" s="20"/>
      <c r="AF522" s="1"/>
    </row>
    <row r="523" spans="1:32" x14ac:dyDescent="0.2">
      <c r="A523" s="26"/>
      <c r="C523" s="8"/>
      <c r="D523" s="8"/>
      <c r="E523" s="8"/>
      <c r="F523" s="8"/>
      <c r="S523" s="20"/>
      <c r="AF523" s="1"/>
    </row>
    <row r="524" spans="1:32" x14ac:dyDescent="0.2">
      <c r="A524" s="26"/>
      <c r="C524" s="8"/>
      <c r="D524" s="8"/>
      <c r="E524" s="8"/>
      <c r="F524" s="8"/>
      <c r="S524" s="20"/>
      <c r="AF524" s="1"/>
    </row>
    <row r="525" spans="1:32" x14ac:dyDescent="0.2">
      <c r="A525" s="26"/>
      <c r="C525" s="8"/>
      <c r="D525" s="8"/>
      <c r="E525" s="8"/>
      <c r="F525" s="8"/>
      <c r="S525" s="20"/>
      <c r="AF525" s="1"/>
    </row>
    <row r="526" spans="1:32" x14ac:dyDescent="0.2">
      <c r="A526" s="26"/>
      <c r="C526" s="8"/>
      <c r="D526" s="8"/>
      <c r="E526" s="8"/>
      <c r="F526" s="8"/>
      <c r="S526" s="20"/>
      <c r="AF526" s="1"/>
    </row>
    <row r="527" spans="1:32" x14ac:dyDescent="0.2">
      <c r="A527" s="26"/>
      <c r="C527" s="8"/>
      <c r="D527" s="8"/>
      <c r="E527" s="8"/>
      <c r="F527" s="8"/>
      <c r="S527" s="20"/>
      <c r="AF527" s="1"/>
    </row>
    <row r="528" spans="1:32" x14ac:dyDescent="0.2">
      <c r="A528" s="26"/>
      <c r="C528" s="8"/>
      <c r="D528" s="8"/>
      <c r="E528" s="8"/>
      <c r="F528" s="8"/>
      <c r="S528" s="20"/>
      <c r="AF528" s="1"/>
    </row>
    <row r="529" spans="1:32" x14ac:dyDescent="0.2">
      <c r="A529" s="26"/>
      <c r="C529" s="8"/>
      <c r="D529" s="8"/>
      <c r="E529" s="8"/>
      <c r="F529" s="8"/>
      <c r="S529" s="20"/>
      <c r="AF529" s="1"/>
    </row>
    <row r="530" spans="1:32" x14ac:dyDescent="0.2">
      <c r="A530" s="26"/>
      <c r="C530" s="8"/>
      <c r="D530" s="8"/>
      <c r="E530" s="8"/>
      <c r="F530" s="8"/>
      <c r="S530" s="20"/>
      <c r="AF530" s="1"/>
    </row>
    <row r="531" spans="1:32" x14ac:dyDescent="0.2">
      <c r="A531" s="26"/>
      <c r="C531" s="8"/>
      <c r="D531" s="8"/>
      <c r="E531" s="8"/>
      <c r="F531" s="8"/>
      <c r="S531" s="20"/>
      <c r="AF531" s="1"/>
    </row>
    <row r="532" spans="1:32" x14ac:dyDescent="0.2">
      <c r="A532" s="26"/>
      <c r="C532" s="8"/>
      <c r="D532" s="8"/>
      <c r="E532" s="8"/>
      <c r="F532" s="8"/>
      <c r="S532" s="20"/>
      <c r="AF532" s="1"/>
    </row>
    <row r="533" spans="1:32" x14ac:dyDescent="0.2">
      <c r="A533" s="26"/>
      <c r="C533" s="8"/>
      <c r="D533" s="8"/>
      <c r="E533" s="8"/>
      <c r="F533" s="8"/>
      <c r="S533" s="20"/>
      <c r="AF533" s="1"/>
    </row>
    <row r="534" spans="1:32" x14ac:dyDescent="0.2">
      <c r="A534" s="26"/>
      <c r="C534" s="8"/>
      <c r="D534" s="8"/>
      <c r="E534" s="8"/>
      <c r="F534" s="8"/>
      <c r="S534" s="20"/>
      <c r="AF534" s="1"/>
    </row>
    <row r="535" spans="1:32" x14ac:dyDescent="0.2">
      <c r="A535" s="26"/>
      <c r="C535" s="8"/>
      <c r="D535" s="8"/>
      <c r="E535" s="8"/>
      <c r="F535" s="8"/>
      <c r="S535" s="20"/>
      <c r="AF535" s="1"/>
    </row>
    <row r="536" spans="1:32" x14ac:dyDescent="0.2">
      <c r="A536" s="26"/>
      <c r="C536" s="8"/>
      <c r="D536" s="8"/>
      <c r="E536" s="8"/>
      <c r="F536" s="8"/>
      <c r="S536" s="20"/>
      <c r="AF536" s="1"/>
    </row>
    <row r="537" spans="1:32" x14ac:dyDescent="0.2">
      <c r="A537" s="26"/>
      <c r="C537" s="8"/>
      <c r="D537" s="8"/>
      <c r="E537" s="8"/>
      <c r="F537" s="8"/>
      <c r="S537" s="20"/>
      <c r="AF537" s="1"/>
    </row>
    <row r="538" spans="1:32" x14ac:dyDescent="0.2">
      <c r="A538" s="26"/>
      <c r="C538" s="8"/>
      <c r="D538" s="8"/>
      <c r="E538" s="8"/>
      <c r="F538" s="8"/>
      <c r="S538" s="20"/>
      <c r="AF538" s="1"/>
    </row>
    <row r="539" spans="1:32" x14ac:dyDescent="0.2">
      <c r="A539" s="26"/>
      <c r="C539" s="8"/>
      <c r="D539" s="8"/>
      <c r="E539" s="8"/>
      <c r="F539" s="8"/>
      <c r="S539" s="20"/>
      <c r="AF539" s="1"/>
    </row>
    <row r="540" spans="1:32" x14ac:dyDescent="0.2">
      <c r="A540" s="26"/>
      <c r="C540" s="8"/>
      <c r="D540" s="8"/>
      <c r="E540" s="8"/>
      <c r="F540" s="8"/>
      <c r="S540" s="20"/>
      <c r="AF540" s="1"/>
    </row>
    <row r="541" spans="1:32" x14ac:dyDescent="0.2">
      <c r="A541" s="26"/>
      <c r="C541" s="8"/>
      <c r="D541" s="8"/>
      <c r="E541" s="8"/>
      <c r="F541" s="8"/>
      <c r="S541" s="20"/>
      <c r="AF541" s="1"/>
    </row>
    <row r="542" spans="1:32" x14ac:dyDescent="0.2">
      <c r="A542" s="26"/>
      <c r="C542" s="8"/>
      <c r="D542" s="8"/>
      <c r="E542" s="8"/>
      <c r="F542" s="8"/>
      <c r="S542" s="20"/>
      <c r="AF542" s="1"/>
    </row>
    <row r="543" spans="1:32" x14ac:dyDescent="0.2">
      <c r="A543" s="26"/>
      <c r="C543" s="8"/>
      <c r="D543" s="8"/>
      <c r="E543" s="8"/>
      <c r="F543" s="8"/>
      <c r="S543" s="20"/>
      <c r="AF543" s="1"/>
    </row>
    <row r="544" spans="1:32" x14ac:dyDescent="0.2">
      <c r="A544" s="26"/>
      <c r="C544" s="8"/>
      <c r="D544" s="8"/>
      <c r="E544" s="8"/>
      <c r="F544" s="8"/>
      <c r="S544" s="20"/>
      <c r="AF544" s="1"/>
    </row>
    <row r="545" spans="1:32" x14ac:dyDescent="0.2">
      <c r="A545" s="26"/>
      <c r="C545" s="8"/>
      <c r="D545" s="8"/>
      <c r="E545" s="8"/>
      <c r="F545" s="8"/>
      <c r="S545" s="20"/>
      <c r="AF545" s="1"/>
    </row>
    <row r="546" spans="1:32" x14ac:dyDescent="0.2">
      <c r="A546" s="26"/>
      <c r="C546" s="8"/>
      <c r="D546" s="8"/>
      <c r="E546" s="8"/>
      <c r="F546" s="8"/>
      <c r="S546" s="20"/>
      <c r="AF546" s="1"/>
    </row>
    <row r="547" spans="1:32" x14ac:dyDescent="0.2">
      <c r="A547" s="26"/>
      <c r="C547" s="8"/>
      <c r="D547" s="8"/>
      <c r="E547" s="8"/>
      <c r="F547" s="8"/>
      <c r="S547" s="20"/>
      <c r="AF547" s="1"/>
    </row>
    <row r="548" spans="1:32" x14ac:dyDescent="0.2">
      <c r="A548" s="26"/>
      <c r="C548" s="8"/>
      <c r="D548" s="8"/>
      <c r="E548" s="8"/>
      <c r="F548" s="8"/>
      <c r="S548" s="20"/>
      <c r="AF548" s="1"/>
    </row>
    <row r="549" spans="1:32" x14ac:dyDescent="0.2">
      <c r="A549" s="26"/>
      <c r="C549" s="8"/>
      <c r="D549" s="8"/>
      <c r="E549" s="8"/>
      <c r="F549" s="8"/>
      <c r="S549" s="20"/>
      <c r="AF549" s="1"/>
    </row>
    <row r="550" spans="1:32" x14ac:dyDescent="0.2">
      <c r="A550" s="26"/>
      <c r="C550" s="8"/>
      <c r="D550" s="8"/>
      <c r="E550" s="8"/>
      <c r="F550" s="8"/>
      <c r="S550" s="20"/>
      <c r="AF550" s="1"/>
    </row>
    <row r="551" spans="1:32" x14ac:dyDescent="0.2">
      <c r="A551" s="26"/>
      <c r="C551" s="8"/>
      <c r="D551" s="8"/>
      <c r="E551" s="8"/>
      <c r="F551" s="8"/>
      <c r="S551" s="20"/>
      <c r="AF551" s="1"/>
    </row>
    <row r="552" spans="1:32" x14ac:dyDescent="0.2">
      <c r="A552" s="26"/>
      <c r="C552" s="8"/>
      <c r="D552" s="8"/>
      <c r="E552" s="8"/>
      <c r="F552" s="8"/>
      <c r="S552" s="20"/>
      <c r="AF552" s="1"/>
    </row>
    <row r="553" spans="1:32" x14ac:dyDescent="0.2">
      <c r="A553" s="26"/>
      <c r="C553" s="8"/>
      <c r="D553" s="8"/>
      <c r="E553" s="8"/>
      <c r="F553" s="8"/>
      <c r="S553" s="20"/>
      <c r="AF553" s="1"/>
    </row>
    <row r="554" spans="1:32" x14ac:dyDescent="0.2">
      <c r="A554" s="26"/>
      <c r="C554" s="8"/>
      <c r="D554" s="8"/>
      <c r="E554" s="8"/>
      <c r="F554" s="8"/>
      <c r="S554" s="20"/>
      <c r="AF554" s="1"/>
    </row>
    <row r="555" spans="1:32" x14ac:dyDescent="0.2">
      <c r="A555" s="26"/>
      <c r="C555" s="8"/>
      <c r="D555" s="8"/>
      <c r="E555" s="8"/>
      <c r="F555" s="8"/>
      <c r="S555" s="20"/>
      <c r="AF555" s="1"/>
    </row>
    <row r="556" spans="1:32" x14ac:dyDescent="0.2">
      <c r="A556" s="26"/>
      <c r="C556" s="8"/>
      <c r="D556" s="8"/>
      <c r="E556" s="8"/>
      <c r="F556" s="8"/>
      <c r="S556" s="20"/>
      <c r="AF556" s="1"/>
    </row>
    <row r="557" spans="1:32" x14ac:dyDescent="0.2">
      <c r="A557" s="26"/>
      <c r="C557" s="8"/>
      <c r="D557" s="8"/>
      <c r="E557" s="8"/>
      <c r="F557" s="8"/>
      <c r="S557" s="20"/>
      <c r="AF557" s="1"/>
    </row>
    <row r="558" spans="1:32" x14ac:dyDescent="0.2">
      <c r="A558" s="26"/>
      <c r="C558" s="8"/>
      <c r="D558" s="8"/>
      <c r="E558" s="8"/>
      <c r="F558" s="8"/>
      <c r="S558" s="20"/>
      <c r="AF558" s="1"/>
    </row>
    <row r="559" spans="1:32" x14ac:dyDescent="0.2">
      <c r="A559" s="26"/>
      <c r="C559" s="8"/>
      <c r="D559" s="8"/>
      <c r="E559" s="8"/>
      <c r="F559" s="8"/>
      <c r="S559" s="20"/>
      <c r="AF559" s="1"/>
    </row>
    <row r="560" spans="1:32" x14ac:dyDescent="0.2">
      <c r="A560" s="26"/>
      <c r="C560" s="8"/>
      <c r="D560" s="8"/>
      <c r="E560" s="8"/>
      <c r="F560" s="8"/>
      <c r="S560" s="20"/>
      <c r="AF560" s="1"/>
    </row>
    <row r="561" spans="1:32" x14ac:dyDescent="0.2">
      <c r="A561" s="26"/>
      <c r="C561" s="8"/>
      <c r="D561" s="8"/>
      <c r="E561" s="8"/>
      <c r="F561" s="8"/>
      <c r="S561" s="20"/>
      <c r="AF561" s="1"/>
    </row>
    <row r="562" spans="1:32" x14ac:dyDescent="0.2">
      <c r="A562" s="26"/>
      <c r="C562" s="8"/>
      <c r="D562" s="8"/>
      <c r="E562" s="8"/>
      <c r="F562" s="8"/>
      <c r="S562" s="20"/>
      <c r="AF562" s="1"/>
    </row>
    <row r="563" spans="1:32" x14ac:dyDescent="0.2">
      <c r="A563" s="26"/>
      <c r="C563" s="8"/>
      <c r="D563" s="8"/>
      <c r="E563" s="8"/>
      <c r="F563" s="8"/>
      <c r="S563" s="20"/>
      <c r="AF563" s="1"/>
    </row>
    <row r="564" spans="1:32" x14ac:dyDescent="0.2">
      <c r="A564" s="26"/>
      <c r="C564" s="8"/>
      <c r="D564" s="8"/>
      <c r="E564" s="8"/>
      <c r="F564" s="8"/>
      <c r="S564" s="20"/>
      <c r="AF564" s="1"/>
    </row>
    <row r="565" spans="1:32" x14ac:dyDescent="0.2">
      <c r="S565" s="20"/>
      <c r="AF565" s="1"/>
    </row>
    <row r="566" spans="1:32" x14ac:dyDescent="0.2">
      <c r="S566" s="20"/>
      <c r="AF566" s="1"/>
    </row>
    <row r="567" spans="1:32" x14ac:dyDescent="0.2">
      <c r="S567" s="20"/>
      <c r="AF567" s="1"/>
    </row>
    <row r="568" spans="1:32" x14ac:dyDescent="0.2">
      <c r="S568" s="20"/>
      <c r="AF568" s="1"/>
    </row>
    <row r="569" spans="1:32" x14ac:dyDescent="0.2">
      <c r="S569" s="20"/>
      <c r="AF569" s="1"/>
    </row>
    <row r="570" spans="1:32" x14ac:dyDescent="0.2">
      <c r="S570" s="20"/>
      <c r="AF570" s="1"/>
    </row>
    <row r="571" spans="1:32" x14ac:dyDescent="0.2">
      <c r="S571" s="20"/>
      <c r="AF571" s="1"/>
    </row>
    <row r="572" spans="1:32" x14ac:dyDescent="0.2">
      <c r="S572" s="20"/>
      <c r="AF572" s="1"/>
    </row>
    <row r="573" spans="1:32" x14ac:dyDescent="0.2">
      <c r="S573" s="20"/>
      <c r="AF573" s="1"/>
    </row>
    <row r="574" spans="1:32" x14ac:dyDescent="0.2">
      <c r="S574" s="20"/>
      <c r="AF574" s="1"/>
    </row>
    <row r="575" spans="1:32" x14ac:dyDescent="0.2">
      <c r="S575" s="20"/>
      <c r="AF575" s="1"/>
    </row>
    <row r="576" spans="1:32" x14ac:dyDescent="0.2">
      <c r="S576" s="20"/>
      <c r="AF576" s="1"/>
    </row>
    <row r="577" spans="19:32" x14ac:dyDescent="0.2">
      <c r="S577" s="20"/>
      <c r="AF577" s="1"/>
    </row>
    <row r="578" spans="19:32" x14ac:dyDescent="0.2">
      <c r="S578" s="20"/>
      <c r="AF578" s="1"/>
    </row>
    <row r="579" spans="19:32" x14ac:dyDescent="0.2">
      <c r="S579" s="20"/>
      <c r="AF579" s="1"/>
    </row>
    <row r="580" spans="19:32" x14ac:dyDescent="0.2">
      <c r="S580" s="20"/>
      <c r="AF580" s="1"/>
    </row>
    <row r="581" spans="19:32" x14ac:dyDescent="0.2">
      <c r="S581" s="20"/>
      <c r="AF581" s="1"/>
    </row>
    <row r="582" spans="19:32" x14ac:dyDescent="0.2">
      <c r="S582" s="20"/>
      <c r="AF582" s="1"/>
    </row>
    <row r="583" spans="19:32" x14ac:dyDescent="0.2">
      <c r="S583" s="20"/>
      <c r="AF583" s="1"/>
    </row>
    <row r="584" spans="19:32" x14ac:dyDescent="0.2">
      <c r="S584" s="20"/>
      <c r="AF584" s="1"/>
    </row>
    <row r="585" spans="19:32" x14ac:dyDescent="0.2">
      <c r="S585" s="20"/>
      <c r="AF585" s="1"/>
    </row>
    <row r="586" spans="19:32" x14ac:dyDescent="0.2">
      <c r="S586" s="20"/>
      <c r="AF586" s="1"/>
    </row>
    <row r="587" spans="19:32" x14ac:dyDescent="0.2">
      <c r="S587" s="20"/>
      <c r="AF587" s="1"/>
    </row>
    <row r="588" spans="19:32" x14ac:dyDescent="0.2">
      <c r="S588" s="20"/>
      <c r="AF588" s="1"/>
    </row>
    <row r="589" spans="19:32" x14ac:dyDescent="0.2">
      <c r="S589" s="20"/>
      <c r="AF589" s="1"/>
    </row>
    <row r="590" spans="19:32" x14ac:dyDescent="0.2">
      <c r="S590" s="20"/>
      <c r="AF590" s="1"/>
    </row>
    <row r="591" spans="19:32" x14ac:dyDescent="0.2">
      <c r="S591" s="20"/>
      <c r="AF591" s="1"/>
    </row>
    <row r="592" spans="19:32" x14ac:dyDescent="0.2">
      <c r="S592" s="20"/>
      <c r="AF592" s="1"/>
    </row>
    <row r="593" spans="19:32" x14ac:dyDescent="0.2">
      <c r="S593" s="20"/>
      <c r="AF593" s="1"/>
    </row>
    <row r="594" spans="19:32" x14ac:dyDescent="0.2">
      <c r="S594" s="20"/>
      <c r="AF594" s="1"/>
    </row>
    <row r="595" spans="19:32" x14ac:dyDescent="0.2">
      <c r="S595" s="20"/>
      <c r="AF595" s="1"/>
    </row>
    <row r="596" spans="19:32" x14ac:dyDescent="0.2">
      <c r="S596" s="20"/>
      <c r="AF596" s="1"/>
    </row>
    <row r="597" spans="19:32" x14ac:dyDescent="0.2">
      <c r="S597" s="20"/>
      <c r="AF597" s="1"/>
    </row>
    <row r="598" spans="19:32" x14ac:dyDescent="0.2">
      <c r="S598" s="20"/>
      <c r="AF598" s="1"/>
    </row>
    <row r="599" spans="19:32" x14ac:dyDescent="0.2">
      <c r="S599" s="20"/>
      <c r="AF599" s="1"/>
    </row>
    <row r="600" spans="19:32" x14ac:dyDescent="0.2">
      <c r="S600" s="20"/>
      <c r="AF600" s="1"/>
    </row>
    <row r="601" spans="19:32" x14ac:dyDescent="0.2">
      <c r="S601" s="20"/>
      <c r="AF601" s="1"/>
    </row>
    <row r="602" spans="19:32" x14ac:dyDescent="0.2">
      <c r="S602" s="20"/>
      <c r="AF602" s="1"/>
    </row>
    <row r="603" spans="19:32" x14ac:dyDescent="0.2">
      <c r="S603" s="20"/>
      <c r="AF603" s="1"/>
    </row>
    <row r="604" spans="19:32" x14ac:dyDescent="0.2">
      <c r="S604" s="20"/>
      <c r="AF604" s="1"/>
    </row>
    <row r="605" spans="19:32" x14ac:dyDescent="0.2">
      <c r="S605" s="20"/>
      <c r="AF605" s="1"/>
    </row>
    <row r="606" spans="19:32" x14ac:dyDescent="0.2">
      <c r="S606" s="20"/>
      <c r="AF606" s="1"/>
    </row>
    <row r="607" spans="19:32" x14ac:dyDescent="0.2">
      <c r="S607" s="20"/>
      <c r="AF607" s="1"/>
    </row>
    <row r="608" spans="19:32" x14ac:dyDescent="0.2">
      <c r="S608" s="20"/>
      <c r="AF608" s="1"/>
    </row>
    <row r="609" spans="19:32" x14ac:dyDescent="0.2">
      <c r="S609" s="20"/>
      <c r="AF609" s="1"/>
    </row>
    <row r="610" spans="19:32" x14ac:dyDescent="0.2">
      <c r="S610" s="20"/>
      <c r="AF610" s="1"/>
    </row>
    <row r="611" spans="19:32" x14ac:dyDescent="0.2">
      <c r="S611" s="20"/>
      <c r="AF611" s="1"/>
    </row>
    <row r="612" spans="19:32" x14ac:dyDescent="0.2">
      <c r="S612" s="20"/>
      <c r="AF612" s="1"/>
    </row>
    <row r="613" spans="19:32" x14ac:dyDescent="0.2">
      <c r="S613" s="20"/>
      <c r="AF613" s="1"/>
    </row>
    <row r="614" spans="19:32" x14ac:dyDescent="0.2">
      <c r="S614" s="20"/>
      <c r="AF614" s="1"/>
    </row>
    <row r="615" spans="19:32" x14ac:dyDescent="0.2">
      <c r="S615" s="20"/>
      <c r="AF615" s="1"/>
    </row>
    <row r="616" spans="19:32" x14ac:dyDescent="0.2">
      <c r="S616" s="20"/>
      <c r="AF616" s="1"/>
    </row>
    <row r="617" spans="19:32" x14ac:dyDescent="0.2">
      <c r="S617" s="20"/>
      <c r="AF617" s="1"/>
    </row>
    <row r="618" spans="19:32" x14ac:dyDescent="0.2">
      <c r="S618" s="20"/>
      <c r="AF618" s="1"/>
    </row>
    <row r="619" spans="19:32" x14ac:dyDescent="0.2">
      <c r="S619" s="20"/>
      <c r="AF619" s="1"/>
    </row>
    <row r="620" spans="19:32" x14ac:dyDescent="0.2">
      <c r="S620" s="20"/>
      <c r="AF620" s="1"/>
    </row>
    <row r="621" spans="19:32" x14ac:dyDescent="0.2">
      <c r="S621" s="20"/>
      <c r="AF621" s="1"/>
    </row>
    <row r="622" spans="19:32" x14ac:dyDescent="0.2">
      <c r="S622" s="20"/>
      <c r="AF622" s="1"/>
    </row>
    <row r="623" spans="19:32" x14ac:dyDescent="0.2">
      <c r="S623" s="20"/>
      <c r="AF623" s="1"/>
    </row>
    <row r="624" spans="19:32" x14ac:dyDescent="0.2">
      <c r="S624" s="20"/>
      <c r="AF624" s="1"/>
    </row>
    <row r="625" spans="19:32" x14ac:dyDescent="0.2">
      <c r="S625" s="20"/>
      <c r="AF625" s="1"/>
    </row>
    <row r="626" spans="19:32" x14ac:dyDescent="0.2">
      <c r="S626" s="20"/>
      <c r="AF626" s="1"/>
    </row>
    <row r="627" spans="19:32" x14ac:dyDescent="0.2">
      <c r="S627" s="20"/>
      <c r="AF627" s="1"/>
    </row>
    <row r="628" spans="19:32" x14ac:dyDescent="0.2">
      <c r="S628" s="20"/>
      <c r="AF628" s="1"/>
    </row>
    <row r="629" spans="19:32" x14ac:dyDescent="0.2">
      <c r="S629" s="20"/>
      <c r="AF629" s="1"/>
    </row>
    <row r="630" spans="19:32" x14ac:dyDescent="0.2">
      <c r="S630" s="20"/>
      <c r="AF630" s="1"/>
    </row>
    <row r="631" spans="19:32" x14ac:dyDescent="0.2">
      <c r="S631" s="20"/>
      <c r="AF631" s="1"/>
    </row>
    <row r="632" spans="19:32" x14ac:dyDescent="0.2">
      <c r="S632" s="20"/>
      <c r="AF632" s="1"/>
    </row>
    <row r="633" spans="19:32" x14ac:dyDescent="0.2">
      <c r="S633" s="20"/>
      <c r="AF633" s="1"/>
    </row>
    <row r="634" spans="19:32" x14ac:dyDescent="0.2">
      <c r="S634" s="20"/>
      <c r="AF634" s="1"/>
    </row>
    <row r="635" spans="19:32" x14ac:dyDescent="0.2">
      <c r="S635" s="20"/>
      <c r="AF635" s="1"/>
    </row>
    <row r="636" spans="19:32" x14ac:dyDescent="0.2">
      <c r="S636" s="20"/>
      <c r="AF636" s="1"/>
    </row>
    <row r="637" spans="19:32" x14ac:dyDescent="0.2">
      <c r="S637" s="20"/>
      <c r="AF637" s="1"/>
    </row>
    <row r="638" spans="19:32" x14ac:dyDescent="0.2">
      <c r="S638" s="20"/>
      <c r="AF638" s="1"/>
    </row>
    <row r="639" spans="19:32" x14ac:dyDescent="0.2">
      <c r="S639" s="20"/>
      <c r="AF639" s="1"/>
    </row>
    <row r="640" spans="19:32" x14ac:dyDescent="0.2">
      <c r="S640" s="20"/>
      <c r="AF640" s="1"/>
    </row>
    <row r="641" spans="19:32" x14ac:dyDescent="0.2">
      <c r="S641" s="20"/>
      <c r="AF641" s="1"/>
    </row>
    <row r="642" spans="19:32" x14ac:dyDescent="0.2">
      <c r="S642" s="20"/>
      <c r="AF642" s="1"/>
    </row>
    <row r="643" spans="19:32" x14ac:dyDescent="0.2">
      <c r="S643" s="20"/>
      <c r="AF643" s="1"/>
    </row>
    <row r="644" spans="19:32" x14ac:dyDescent="0.2">
      <c r="S644" s="20"/>
      <c r="AF644" s="1"/>
    </row>
    <row r="645" spans="19:32" x14ac:dyDescent="0.2">
      <c r="S645" s="20"/>
      <c r="AF645" s="1"/>
    </row>
    <row r="646" spans="19:32" x14ac:dyDescent="0.2">
      <c r="S646" s="20"/>
      <c r="AF646" s="1"/>
    </row>
    <row r="647" spans="19:32" x14ac:dyDescent="0.2">
      <c r="S647" s="20"/>
      <c r="AF647" s="1"/>
    </row>
    <row r="648" spans="19:32" x14ac:dyDescent="0.2">
      <c r="S648" s="20"/>
      <c r="AF648" s="1"/>
    </row>
    <row r="649" spans="19:32" x14ac:dyDescent="0.2">
      <c r="S649" s="20"/>
      <c r="AF649" s="1"/>
    </row>
    <row r="650" spans="19:32" x14ac:dyDescent="0.2">
      <c r="S650" s="20"/>
      <c r="AF650" s="1"/>
    </row>
    <row r="651" spans="19:32" x14ac:dyDescent="0.2">
      <c r="S651" s="20"/>
      <c r="AF651" s="1"/>
    </row>
    <row r="652" spans="19:32" x14ac:dyDescent="0.2">
      <c r="S652" s="20"/>
      <c r="AF652" s="1"/>
    </row>
    <row r="653" spans="19:32" x14ac:dyDescent="0.2">
      <c r="S653" s="20"/>
      <c r="AF653" s="1"/>
    </row>
    <row r="654" spans="19:32" x14ac:dyDescent="0.2">
      <c r="S654" s="20"/>
      <c r="AF654" s="1"/>
    </row>
    <row r="655" spans="19:32" x14ac:dyDescent="0.2">
      <c r="S655" s="20"/>
      <c r="AF655" s="1"/>
    </row>
    <row r="656" spans="19:32" x14ac:dyDescent="0.2">
      <c r="S656" s="20"/>
      <c r="AF656" s="1"/>
    </row>
    <row r="657" spans="19:32" x14ac:dyDescent="0.2">
      <c r="S657" s="20"/>
      <c r="AF657" s="1"/>
    </row>
    <row r="658" spans="19:32" x14ac:dyDescent="0.2">
      <c r="S658" s="20"/>
      <c r="AF658" s="1"/>
    </row>
    <row r="659" spans="19:32" x14ac:dyDescent="0.2">
      <c r="S659" s="20"/>
      <c r="AF659" s="1"/>
    </row>
    <row r="660" spans="19:32" x14ac:dyDescent="0.2">
      <c r="S660" s="20"/>
      <c r="AF660" s="1"/>
    </row>
    <row r="661" spans="19:32" x14ac:dyDescent="0.2">
      <c r="S661" s="20"/>
      <c r="AF661" s="1"/>
    </row>
    <row r="662" spans="19:32" x14ac:dyDescent="0.2">
      <c r="S662" s="20"/>
      <c r="AF662" s="1"/>
    </row>
    <row r="663" spans="19:32" x14ac:dyDescent="0.2">
      <c r="S663" s="20"/>
      <c r="AF663" s="1"/>
    </row>
    <row r="664" spans="19:32" x14ac:dyDescent="0.2">
      <c r="S664" s="20"/>
      <c r="AF664" s="1"/>
    </row>
    <row r="665" spans="19:32" x14ac:dyDescent="0.2">
      <c r="S665" s="20"/>
      <c r="AF665" s="1"/>
    </row>
    <row r="666" spans="19:32" x14ac:dyDescent="0.2">
      <c r="S666" s="20"/>
      <c r="AF666" s="1"/>
    </row>
    <row r="667" spans="19:32" x14ac:dyDescent="0.2">
      <c r="S667" s="20"/>
      <c r="AF667" s="1"/>
    </row>
    <row r="668" spans="19:32" x14ac:dyDescent="0.2">
      <c r="S668" s="20"/>
      <c r="AF668" s="1"/>
    </row>
    <row r="669" spans="19:32" x14ac:dyDescent="0.2">
      <c r="S669" s="20"/>
      <c r="AF669" s="1"/>
    </row>
    <row r="670" spans="19:32" x14ac:dyDescent="0.2">
      <c r="S670" s="20"/>
      <c r="AF670" s="1"/>
    </row>
    <row r="671" spans="19:32" x14ac:dyDescent="0.2">
      <c r="S671" s="20"/>
      <c r="AF671" s="1"/>
    </row>
    <row r="672" spans="19:32" x14ac:dyDescent="0.2">
      <c r="S672" s="20"/>
      <c r="AF672" s="1"/>
    </row>
    <row r="673" spans="19:32" x14ac:dyDescent="0.2">
      <c r="S673" s="20"/>
      <c r="AF673" s="1"/>
    </row>
    <row r="674" spans="19:32" x14ac:dyDescent="0.2">
      <c r="S674" s="20"/>
      <c r="AF674" s="1"/>
    </row>
    <row r="675" spans="19:32" x14ac:dyDescent="0.2">
      <c r="S675" s="20"/>
      <c r="AF675" s="1"/>
    </row>
    <row r="676" spans="19:32" x14ac:dyDescent="0.2">
      <c r="S676" s="20"/>
      <c r="AF676" s="1"/>
    </row>
    <row r="677" spans="19:32" x14ac:dyDescent="0.2">
      <c r="S677" s="20"/>
      <c r="AF677" s="1"/>
    </row>
    <row r="678" spans="19:32" x14ac:dyDescent="0.2">
      <c r="S678" s="20"/>
      <c r="AF678" s="1"/>
    </row>
    <row r="679" spans="19:32" x14ac:dyDescent="0.2">
      <c r="S679" s="20"/>
      <c r="AF679" s="1"/>
    </row>
    <row r="680" spans="19:32" x14ac:dyDescent="0.2">
      <c r="S680" s="20"/>
      <c r="AF680" s="1"/>
    </row>
    <row r="681" spans="19:32" x14ac:dyDescent="0.2">
      <c r="S681" s="20"/>
      <c r="AF681" s="1"/>
    </row>
    <row r="682" spans="19:32" x14ac:dyDescent="0.2">
      <c r="S682" s="20"/>
      <c r="AF682" s="1"/>
    </row>
    <row r="683" spans="19:32" x14ac:dyDescent="0.2">
      <c r="S683" s="20"/>
      <c r="AF683" s="1"/>
    </row>
    <row r="684" spans="19:32" x14ac:dyDescent="0.2">
      <c r="S684" s="20"/>
      <c r="AF684" s="1"/>
    </row>
    <row r="685" spans="19:32" x14ac:dyDescent="0.2">
      <c r="S685" s="20"/>
      <c r="AF685" s="1"/>
    </row>
    <row r="686" spans="19:32" x14ac:dyDescent="0.2">
      <c r="S686" s="20"/>
      <c r="AF686" s="1"/>
    </row>
    <row r="687" spans="19:32" x14ac:dyDescent="0.2">
      <c r="S687" s="20"/>
      <c r="AF687" s="1"/>
    </row>
    <row r="688" spans="19:32" x14ac:dyDescent="0.2">
      <c r="S688" s="20"/>
      <c r="AF688" s="1"/>
    </row>
    <row r="689" spans="19:32" x14ac:dyDescent="0.2">
      <c r="S689" s="20"/>
      <c r="AF689" s="1"/>
    </row>
    <row r="690" spans="19:32" x14ac:dyDescent="0.2">
      <c r="S690" s="20"/>
      <c r="AF690" s="1"/>
    </row>
    <row r="691" spans="19:32" x14ac:dyDescent="0.2">
      <c r="S691" s="20"/>
      <c r="AF691" s="1"/>
    </row>
    <row r="692" spans="19:32" x14ac:dyDescent="0.2">
      <c r="S692" s="20"/>
      <c r="AF692" s="1"/>
    </row>
    <row r="693" spans="19:32" x14ac:dyDescent="0.2">
      <c r="S693" s="20"/>
      <c r="AF693" s="1"/>
    </row>
    <row r="694" spans="19:32" x14ac:dyDescent="0.2">
      <c r="S694" s="20"/>
      <c r="AF694" s="1"/>
    </row>
    <row r="695" spans="19:32" x14ac:dyDescent="0.2">
      <c r="S695" s="20"/>
      <c r="AF695" s="1"/>
    </row>
    <row r="696" spans="19:32" x14ac:dyDescent="0.2">
      <c r="S696" s="20"/>
      <c r="AF696" s="1"/>
    </row>
    <row r="697" spans="19:32" x14ac:dyDescent="0.2">
      <c r="S697" s="20"/>
      <c r="AF697" s="1"/>
    </row>
    <row r="698" spans="19:32" x14ac:dyDescent="0.2">
      <c r="S698" s="20"/>
      <c r="AF698" s="1"/>
    </row>
    <row r="699" spans="19:32" x14ac:dyDescent="0.2">
      <c r="S699" s="20"/>
      <c r="AF699" s="1"/>
    </row>
    <row r="700" spans="19:32" x14ac:dyDescent="0.2">
      <c r="S700" s="20"/>
      <c r="AF700" s="1"/>
    </row>
    <row r="701" spans="19:32" x14ac:dyDescent="0.2">
      <c r="S701" s="20"/>
      <c r="AF701" s="1"/>
    </row>
    <row r="702" spans="19:32" x14ac:dyDescent="0.2">
      <c r="S702" s="20"/>
      <c r="AF702" s="1"/>
    </row>
    <row r="703" spans="19:32" x14ac:dyDescent="0.2">
      <c r="S703" s="20"/>
      <c r="AF703" s="1"/>
    </row>
    <row r="704" spans="19:32" x14ac:dyDescent="0.2">
      <c r="S704" s="20"/>
      <c r="AF704" s="1"/>
    </row>
    <row r="705" spans="19:32" x14ac:dyDescent="0.2">
      <c r="S705" s="20"/>
      <c r="AF705" s="1"/>
    </row>
    <row r="706" spans="19:32" x14ac:dyDescent="0.2">
      <c r="S706" s="20"/>
      <c r="AF706" s="1"/>
    </row>
    <row r="707" spans="19:32" x14ac:dyDescent="0.2">
      <c r="S707" s="20"/>
      <c r="AF707" s="1"/>
    </row>
    <row r="708" spans="19:32" x14ac:dyDescent="0.2">
      <c r="S708" s="20"/>
      <c r="AF708" s="1"/>
    </row>
    <row r="709" spans="19:32" x14ac:dyDescent="0.2">
      <c r="S709" s="20"/>
      <c r="AF709" s="1"/>
    </row>
    <row r="710" spans="19:32" x14ac:dyDescent="0.2">
      <c r="S710" s="20"/>
      <c r="AF710" s="1"/>
    </row>
    <row r="711" spans="19:32" x14ac:dyDescent="0.2">
      <c r="S711" s="20"/>
      <c r="AF711" s="1"/>
    </row>
    <row r="712" spans="19:32" x14ac:dyDescent="0.2">
      <c r="S712" s="20"/>
      <c r="AF712" s="1"/>
    </row>
    <row r="713" spans="19:32" x14ac:dyDescent="0.2">
      <c r="S713" s="20"/>
      <c r="AF713" s="1"/>
    </row>
    <row r="714" spans="19:32" x14ac:dyDescent="0.2">
      <c r="S714" s="20"/>
      <c r="AF714" s="1"/>
    </row>
    <row r="715" spans="19:32" x14ac:dyDescent="0.2">
      <c r="S715" s="20"/>
      <c r="AF715" s="1"/>
    </row>
    <row r="716" spans="19:32" x14ac:dyDescent="0.2">
      <c r="S716" s="20"/>
      <c r="AF716" s="1"/>
    </row>
    <row r="717" spans="19:32" x14ac:dyDescent="0.2">
      <c r="S717" s="20"/>
      <c r="AF717" s="1"/>
    </row>
    <row r="718" spans="19:32" x14ac:dyDescent="0.2">
      <c r="S718" s="20"/>
      <c r="AF718" s="1"/>
    </row>
    <row r="719" spans="19:32" x14ac:dyDescent="0.2">
      <c r="S719" s="20"/>
      <c r="AF719" s="1"/>
    </row>
    <row r="720" spans="19:32" x14ac:dyDescent="0.2">
      <c r="S720" s="20"/>
      <c r="AF720" s="1"/>
    </row>
    <row r="721" spans="19:32" x14ac:dyDescent="0.2">
      <c r="S721" s="20"/>
      <c r="AF721" s="1"/>
    </row>
    <row r="722" spans="19:32" x14ac:dyDescent="0.2">
      <c r="S722" s="20"/>
      <c r="AF722" s="1"/>
    </row>
    <row r="723" spans="19:32" x14ac:dyDescent="0.2">
      <c r="S723" s="20"/>
      <c r="AF723" s="1"/>
    </row>
    <row r="724" spans="19:32" x14ac:dyDescent="0.2">
      <c r="S724" s="20"/>
      <c r="AF724" s="1"/>
    </row>
    <row r="725" spans="19:32" x14ac:dyDescent="0.2">
      <c r="S725" s="20"/>
      <c r="AF725" s="1"/>
    </row>
    <row r="726" spans="19:32" x14ac:dyDescent="0.2">
      <c r="S726" s="20"/>
      <c r="AF726" s="1"/>
    </row>
    <row r="727" spans="19:32" x14ac:dyDescent="0.2">
      <c r="S727" s="20"/>
      <c r="AF727" s="1"/>
    </row>
    <row r="728" spans="19:32" x14ac:dyDescent="0.2">
      <c r="S728" s="20"/>
      <c r="AF728" s="1"/>
    </row>
    <row r="729" spans="19:32" x14ac:dyDescent="0.2">
      <c r="S729" s="20"/>
      <c r="AF729" s="1"/>
    </row>
    <row r="730" spans="19:32" x14ac:dyDescent="0.2">
      <c r="S730" s="20"/>
      <c r="AF730" s="1"/>
    </row>
    <row r="731" spans="19:32" x14ac:dyDescent="0.2">
      <c r="S731" s="20"/>
      <c r="AF731" s="1"/>
    </row>
    <row r="732" spans="19:32" x14ac:dyDescent="0.2">
      <c r="S732" s="20"/>
      <c r="AF732" s="1"/>
    </row>
    <row r="733" spans="19:32" x14ac:dyDescent="0.2">
      <c r="S733" s="20"/>
      <c r="AF733" s="1"/>
    </row>
    <row r="734" spans="19:32" x14ac:dyDescent="0.2">
      <c r="S734" s="20"/>
      <c r="AF734" s="1"/>
    </row>
    <row r="735" spans="19:32" x14ac:dyDescent="0.2">
      <c r="S735" s="20"/>
      <c r="AF735" s="1"/>
    </row>
    <row r="736" spans="19:32" x14ac:dyDescent="0.2">
      <c r="S736" s="20"/>
      <c r="AF736" s="1"/>
    </row>
    <row r="737" spans="19:32" x14ac:dyDescent="0.2">
      <c r="S737" s="20"/>
      <c r="AF737" s="1"/>
    </row>
    <row r="738" spans="19:32" x14ac:dyDescent="0.2">
      <c r="S738" s="20"/>
      <c r="AF738" s="1"/>
    </row>
    <row r="739" spans="19:32" x14ac:dyDescent="0.2">
      <c r="S739" s="20"/>
      <c r="AF739" s="1"/>
    </row>
    <row r="740" spans="19:32" x14ac:dyDescent="0.2">
      <c r="S740" s="20"/>
      <c r="AF740" s="1"/>
    </row>
    <row r="741" spans="19:32" x14ac:dyDescent="0.2">
      <c r="S741" s="20"/>
      <c r="AF741" s="1"/>
    </row>
    <row r="742" spans="19:32" x14ac:dyDescent="0.2">
      <c r="S742" s="20"/>
      <c r="AF742" s="1"/>
    </row>
    <row r="743" spans="19:32" x14ac:dyDescent="0.2">
      <c r="S743" s="20"/>
      <c r="AF743" s="1"/>
    </row>
    <row r="744" spans="19:32" x14ac:dyDescent="0.2">
      <c r="S744" s="20"/>
      <c r="AF744" s="1"/>
    </row>
    <row r="745" spans="19:32" x14ac:dyDescent="0.2">
      <c r="S745" s="20"/>
      <c r="AF745" s="1"/>
    </row>
    <row r="746" spans="19:32" x14ac:dyDescent="0.2">
      <c r="S746" s="20"/>
      <c r="AF746" s="1"/>
    </row>
    <row r="747" spans="19:32" x14ac:dyDescent="0.2">
      <c r="S747" s="20"/>
      <c r="AF747" s="1"/>
    </row>
    <row r="748" spans="19:32" x14ac:dyDescent="0.2">
      <c r="S748" s="20"/>
      <c r="AF748" s="1"/>
    </row>
    <row r="749" spans="19:32" x14ac:dyDescent="0.2">
      <c r="S749" s="20"/>
      <c r="AF749" s="1"/>
    </row>
    <row r="750" spans="19:32" x14ac:dyDescent="0.2">
      <c r="S750" s="20"/>
      <c r="AF750" s="1"/>
    </row>
    <row r="751" spans="19:32" x14ac:dyDescent="0.2">
      <c r="S751" s="20"/>
      <c r="AF751" s="1"/>
    </row>
    <row r="752" spans="19:32" x14ac:dyDescent="0.2">
      <c r="S752" s="20"/>
      <c r="AF752" s="1"/>
    </row>
    <row r="753" spans="19:32" x14ac:dyDescent="0.2">
      <c r="S753" s="20"/>
      <c r="AF753" s="1"/>
    </row>
    <row r="754" spans="19:32" x14ac:dyDescent="0.2">
      <c r="S754" s="20"/>
      <c r="AF754" s="1"/>
    </row>
    <row r="755" spans="19:32" x14ac:dyDescent="0.2">
      <c r="S755" s="20"/>
      <c r="AF755" s="1"/>
    </row>
    <row r="756" spans="19:32" x14ac:dyDescent="0.2">
      <c r="S756" s="20"/>
      <c r="AF756" s="1"/>
    </row>
    <row r="757" spans="19:32" x14ac:dyDescent="0.2">
      <c r="S757" s="20"/>
      <c r="AF757" s="1"/>
    </row>
    <row r="758" spans="19:32" x14ac:dyDescent="0.2">
      <c r="S758" s="20"/>
      <c r="AF758" s="1"/>
    </row>
    <row r="759" spans="19:32" x14ac:dyDescent="0.2">
      <c r="S759" s="20"/>
      <c r="AF759" s="1"/>
    </row>
    <row r="760" spans="19:32" x14ac:dyDescent="0.2">
      <c r="S760" s="20"/>
      <c r="AF760" s="1"/>
    </row>
    <row r="761" spans="19:32" x14ac:dyDescent="0.2">
      <c r="S761" s="20"/>
      <c r="AF761" s="1"/>
    </row>
    <row r="762" spans="19:32" x14ac:dyDescent="0.2">
      <c r="S762" s="20"/>
      <c r="AF762" s="1"/>
    </row>
    <row r="763" spans="19:32" x14ac:dyDescent="0.2">
      <c r="S763" s="20"/>
      <c r="AF763" s="1"/>
    </row>
    <row r="764" spans="19:32" x14ac:dyDescent="0.2">
      <c r="S764" s="20"/>
      <c r="AF764" s="1"/>
    </row>
    <row r="765" spans="19:32" x14ac:dyDescent="0.2">
      <c r="S765" s="20"/>
      <c r="AF765" s="1"/>
    </row>
    <row r="766" spans="19:32" x14ac:dyDescent="0.2">
      <c r="S766" s="20"/>
      <c r="AF766" s="1"/>
    </row>
    <row r="767" spans="19:32" x14ac:dyDescent="0.2">
      <c r="S767" s="20"/>
      <c r="AF767" s="1"/>
    </row>
    <row r="768" spans="19:32" x14ac:dyDescent="0.2">
      <c r="S768" s="20"/>
      <c r="AF768" s="1"/>
    </row>
    <row r="769" spans="19:32" x14ac:dyDescent="0.2">
      <c r="S769" s="20"/>
      <c r="AF769" s="1"/>
    </row>
    <row r="770" spans="19:32" x14ac:dyDescent="0.2">
      <c r="S770" s="20"/>
      <c r="AF770" s="1"/>
    </row>
    <row r="771" spans="19:32" x14ac:dyDescent="0.2">
      <c r="S771" s="20"/>
      <c r="AF771" s="1"/>
    </row>
    <row r="772" spans="19:32" x14ac:dyDescent="0.2">
      <c r="S772" s="20"/>
      <c r="AF772" s="1"/>
    </row>
    <row r="773" spans="19:32" x14ac:dyDescent="0.2">
      <c r="S773" s="20"/>
      <c r="AF773" s="1"/>
    </row>
    <row r="774" spans="19:32" x14ac:dyDescent="0.2">
      <c r="S774" s="20"/>
      <c r="AF774" s="1"/>
    </row>
    <row r="775" spans="19:32" x14ac:dyDescent="0.2">
      <c r="S775" s="20"/>
      <c r="AF775" s="1"/>
    </row>
    <row r="776" spans="19:32" x14ac:dyDescent="0.2">
      <c r="S776" s="20"/>
      <c r="AF776" s="1"/>
    </row>
    <row r="777" spans="19:32" x14ac:dyDescent="0.2">
      <c r="S777" s="20"/>
      <c r="AF777" s="1"/>
    </row>
    <row r="778" spans="19:32" x14ac:dyDescent="0.2">
      <c r="S778" s="20"/>
      <c r="AF778" s="1"/>
    </row>
    <row r="779" spans="19:32" x14ac:dyDescent="0.2">
      <c r="S779" s="20"/>
      <c r="AF779" s="1"/>
    </row>
    <row r="780" spans="19:32" x14ac:dyDescent="0.2">
      <c r="S780" s="20"/>
      <c r="AF780" s="1"/>
    </row>
    <row r="781" spans="19:32" x14ac:dyDescent="0.2">
      <c r="S781" s="20"/>
      <c r="AF781" s="1"/>
    </row>
    <row r="782" spans="19:32" x14ac:dyDescent="0.2">
      <c r="S782" s="20"/>
      <c r="AF782" s="1"/>
    </row>
    <row r="783" spans="19:32" x14ac:dyDescent="0.2">
      <c r="S783" s="20"/>
      <c r="AF783" s="1"/>
    </row>
    <row r="784" spans="19:32" x14ac:dyDescent="0.2">
      <c r="S784" s="20"/>
      <c r="AF784" s="1"/>
    </row>
    <row r="785" spans="19:32" x14ac:dyDescent="0.2">
      <c r="S785" s="20"/>
      <c r="AF785" s="1"/>
    </row>
    <row r="786" spans="19:32" x14ac:dyDescent="0.2">
      <c r="S786" s="20"/>
      <c r="AF786" s="1"/>
    </row>
    <row r="787" spans="19:32" x14ac:dyDescent="0.2">
      <c r="S787" s="20"/>
      <c r="AF787" s="1"/>
    </row>
    <row r="788" spans="19:32" x14ac:dyDescent="0.2">
      <c r="S788" s="20"/>
      <c r="AF788" s="1"/>
    </row>
    <row r="789" spans="19:32" x14ac:dyDescent="0.2">
      <c r="S789" s="20"/>
      <c r="AF789" s="1"/>
    </row>
    <row r="790" spans="19:32" x14ac:dyDescent="0.2">
      <c r="S790" s="20"/>
      <c r="AF790" s="1"/>
    </row>
    <row r="791" spans="19:32" x14ac:dyDescent="0.2">
      <c r="S791" s="20"/>
      <c r="AF791" s="1"/>
    </row>
    <row r="792" spans="19:32" x14ac:dyDescent="0.2">
      <c r="S792" s="20"/>
      <c r="AF792" s="1"/>
    </row>
    <row r="793" spans="19:32" x14ac:dyDescent="0.2">
      <c r="S793" s="20"/>
      <c r="AF793" s="1"/>
    </row>
    <row r="794" spans="19:32" x14ac:dyDescent="0.2">
      <c r="S794" s="20"/>
      <c r="AF794" s="1"/>
    </row>
    <row r="795" spans="19:32" x14ac:dyDescent="0.2">
      <c r="S795" s="20"/>
      <c r="AF795" s="1"/>
    </row>
    <row r="796" spans="19:32" x14ac:dyDescent="0.2">
      <c r="S796" s="20"/>
      <c r="AF796" s="1"/>
    </row>
    <row r="797" spans="19:32" x14ac:dyDescent="0.2">
      <c r="S797" s="20"/>
      <c r="AF797" s="1"/>
    </row>
    <row r="798" spans="19:32" x14ac:dyDescent="0.2">
      <c r="S798" s="20"/>
      <c r="AF798" s="1"/>
    </row>
    <row r="799" spans="19:32" x14ac:dyDescent="0.2">
      <c r="S799" s="20"/>
      <c r="AF799" s="1"/>
    </row>
    <row r="800" spans="19:32" x14ac:dyDescent="0.2">
      <c r="S800" s="20"/>
      <c r="AF800" s="1"/>
    </row>
    <row r="801" spans="19:32" x14ac:dyDescent="0.2">
      <c r="S801" s="20"/>
      <c r="AF801" s="1"/>
    </row>
    <row r="802" spans="19:32" x14ac:dyDescent="0.2">
      <c r="S802" s="20"/>
      <c r="AF802" s="1"/>
    </row>
    <row r="803" spans="19:32" x14ac:dyDescent="0.2">
      <c r="S803" s="20"/>
      <c r="AF803" s="1"/>
    </row>
    <row r="804" spans="19:32" x14ac:dyDescent="0.2">
      <c r="S804" s="20"/>
      <c r="AF804" s="1"/>
    </row>
    <row r="805" spans="19:32" x14ac:dyDescent="0.2">
      <c r="S805" s="20"/>
      <c r="AF805" s="1"/>
    </row>
    <row r="806" spans="19:32" x14ac:dyDescent="0.2">
      <c r="S806" s="20"/>
      <c r="AF806" s="1"/>
    </row>
    <row r="807" spans="19:32" x14ac:dyDescent="0.2">
      <c r="S807" s="20"/>
      <c r="AF807" s="1"/>
    </row>
    <row r="808" spans="19:32" x14ac:dyDescent="0.2">
      <c r="S808" s="20"/>
      <c r="AF808" s="1"/>
    </row>
    <row r="809" spans="19:32" x14ac:dyDescent="0.2">
      <c r="S809" s="20"/>
      <c r="AF809" s="1"/>
    </row>
    <row r="810" spans="19:32" x14ac:dyDescent="0.2">
      <c r="S810" s="20"/>
      <c r="AF810" s="1"/>
    </row>
    <row r="811" spans="19:32" x14ac:dyDescent="0.2">
      <c r="S811" s="20"/>
      <c r="AF811" s="1"/>
    </row>
    <row r="812" spans="19:32" x14ac:dyDescent="0.2">
      <c r="S812" s="20"/>
      <c r="AF812" s="1"/>
    </row>
    <row r="813" spans="19:32" x14ac:dyDescent="0.2">
      <c r="S813" s="20"/>
      <c r="AF813" s="1"/>
    </row>
    <row r="814" spans="19:32" x14ac:dyDescent="0.2">
      <c r="S814" s="20"/>
      <c r="AF814" s="1"/>
    </row>
    <row r="815" spans="19:32" x14ac:dyDescent="0.2">
      <c r="S815" s="20"/>
      <c r="AF815" s="1"/>
    </row>
    <row r="816" spans="19:32" x14ac:dyDescent="0.2">
      <c r="S816" s="20"/>
      <c r="AF816" s="1"/>
    </row>
    <row r="817" spans="19:32" x14ac:dyDescent="0.2">
      <c r="S817" s="20"/>
      <c r="AF817" s="1"/>
    </row>
    <row r="818" spans="19:32" x14ac:dyDescent="0.2">
      <c r="S818" s="20"/>
      <c r="AF818" s="1"/>
    </row>
    <row r="819" spans="19:32" x14ac:dyDescent="0.2">
      <c r="S819" s="20"/>
      <c r="AF819" s="1"/>
    </row>
    <row r="820" spans="19:32" x14ac:dyDescent="0.2">
      <c r="S820" s="20"/>
      <c r="AF820" s="1"/>
    </row>
    <row r="821" spans="19:32" x14ac:dyDescent="0.2">
      <c r="S821" s="20"/>
      <c r="AF821" s="1"/>
    </row>
    <row r="822" spans="19:32" x14ac:dyDescent="0.2">
      <c r="S822" s="20"/>
      <c r="AF822" s="1"/>
    </row>
    <row r="823" spans="19:32" x14ac:dyDescent="0.2">
      <c r="S823" s="20"/>
      <c r="AF823" s="1"/>
    </row>
    <row r="824" spans="19:32" x14ac:dyDescent="0.2">
      <c r="S824" s="20"/>
      <c r="AF824" s="1"/>
    </row>
    <row r="825" spans="19:32" x14ac:dyDescent="0.2">
      <c r="S825" s="20"/>
      <c r="AF825" s="1"/>
    </row>
    <row r="826" spans="19:32" x14ac:dyDescent="0.2">
      <c r="S826" s="20"/>
      <c r="AF826" s="1"/>
    </row>
    <row r="827" spans="19:32" x14ac:dyDescent="0.2">
      <c r="S827" s="20"/>
      <c r="AF827" s="1"/>
    </row>
    <row r="828" spans="19:32" x14ac:dyDescent="0.2">
      <c r="S828" s="20"/>
      <c r="AF828" s="1"/>
    </row>
    <row r="829" spans="19:32" x14ac:dyDescent="0.2">
      <c r="S829" s="20"/>
      <c r="AF829" s="1"/>
    </row>
    <row r="830" spans="19:32" x14ac:dyDescent="0.2">
      <c r="S830" s="20"/>
      <c r="AF830" s="1"/>
    </row>
    <row r="831" spans="19:32" x14ac:dyDescent="0.2">
      <c r="S831" s="20"/>
      <c r="AF831" s="1"/>
    </row>
    <row r="832" spans="19:32" x14ac:dyDescent="0.2">
      <c r="S832" s="20"/>
      <c r="AF832" s="1"/>
    </row>
    <row r="833" spans="19:32" x14ac:dyDescent="0.2">
      <c r="S833" s="20"/>
      <c r="AF833" s="1"/>
    </row>
    <row r="834" spans="19:32" x14ac:dyDescent="0.2">
      <c r="S834" s="20"/>
      <c r="AF834" s="1"/>
    </row>
    <row r="835" spans="19:32" x14ac:dyDescent="0.2">
      <c r="S835" s="20"/>
      <c r="AF835" s="1"/>
    </row>
    <row r="836" spans="19:32" x14ac:dyDescent="0.2">
      <c r="S836" s="20"/>
      <c r="AF836" s="1"/>
    </row>
    <row r="837" spans="19:32" x14ac:dyDescent="0.2">
      <c r="S837" s="20"/>
      <c r="AF837" s="1"/>
    </row>
    <row r="838" spans="19:32" x14ac:dyDescent="0.2">
      <c r="S838" s="20"/>
      <c r="AF838" s="1"/>
    </row>
    <row r="839" spans="19:32" x14ac:dyDescent="0.2">
      <c r="S839" s="20"/>
      <c r="AF839" s="1"/>
    </row>
    <row r="840" spans="19:32" x14ac:dyDescent="0.2">
      <c r="S840" s="20"/>
      <c r="AF840" s="1"/>
    </row>
    <row r="841" spans="19:32" x14ac:dyDescent="0.2">
      <c r="S841" s="20"/>
      <c r="AF841" s="1"/>
    </row>
    <row r="842" spans="19:32" x14ac:dyDescent="0.2">
      <c r="S842" s="20"/>
      <c r="AF842" s="1"/>
    </row>
    <row r="843" spans="19:32" x14ac:dyDescent="0.2">
      <c r="S843" s="20"/>
      <c r="AF843" s="1"/>
    </row>
    <row r="844" spans="19:32" x14ac:dyDescent="0.2">
      <c r="S844" s="20"/>
      <c r="AF844" s="1"/>
    </row>
    <row r="845" spans="19:32" x14ac:dyDescent="0.2">
      <c r="S845" s="20"/>
      <c r="AF845" s="1"/>
    </row>
    <row r="846" spans="19:32" x14ac:dyDescent="0.2">
      <c r="S846" s="20"/>
      <c r="AF846" s="1"/>
    </row>
    <row r="847" spans="19:32" x14ac:dyDescent="0.2">
      <c r="S847" s="20"/>
      <c r="AF847" s="1"/>
    </row>
    <row r="848" spans="19:32" x14ac:dyDescent="0.2">
      <c r="S848" s="20"/>
      <c r="AF848" s="1"/>
    </row>
    <row r="849" spans="19:32" x14ac:dyDescent="0.2">
      <c r="S849" s="20"/>
      <c r="AF849" s="1"/>
    </row>
    <row r="850" spans="19:32" x14ac:dyDescent="0.2">
      <c r="S850" s="20"/>
      <c r="AF850" s="1"/>
    </row>
    <row r="851" spans="19:32" x14ac:dyDescent="0.2">
      <c r="S851" s="20"/>
      <c r="AF851" s="1"/>
    </row>
    <row r="852" spans="19:32" x14ac:dyDescent="0.2">
      <c r="S852" s="20"/>
      <c r="AF852" s="1"/>
    </row>
    <row r="853" spans="19:32" x14ac:dyDescent="0.2">
      <c r="S853" s="20"/>
      <c r="AF853" s="1"/>
    </row>
    <row r="854" spans="19:32" x14ac:dyDescent="0.2">
      <c r="S854" s="20"/>
      <c r="AF854" s="1"/>
    </row>
    <row r="855" spans="19:32" x14ac:dyDescent="0.2">
      <c r="S855" s="20"/>
      <c r="AF855" s="1"/>
    </row>
    <row r="856" spans="19:32" x14ac:dyDescent="0.2">
      <c r="S856" s="20"/>
      <c r="AF856" s="1"/>
    </row>
    <row r="857" spans="19:32" x14ac:dyDescent="0.2">
      <c r="S857" s="20"/>
      <c r="AF857" s="1"/>
    </row>
    <row r="858" spans="19:32" x14ac:dyDescent="0.2">
      <c r="S858" s="20"/>
      <c r="AF858" s="1"/>
    </row>
    <row r="859" spans="19:32" x14ac:dyDescent="0.2">
      <c r="S859" s="20"/>
      <c r="AF859" s="1"/>
    </row>
    <row r="860" spans="19:32" x14ac:dyDescent="0.2">
      <c r="S860" s="20"/>
      <c r="AF860" s="1"/>
    </row>
    <row r="861" spans="19:32" x14ac:dyDescent="0.2">
      <c r="S861" s="20"/>
      <c r="AF861" s="1"/>
    </row>
    <row r="862" spans="19:32" x14ac:dyDescent="0.2">
      <c r="S862" s="20"/>
      <c r="AF862" s="1"/>
    </row>
    <row r="863" spans="19:32" x14ac:dyDescent="0.2">
      <c r="S863" s="20"/>
      <c r="AF863" s="1"/>
    </row>
    <row r="864" spans="19:32" x14ac:dyDescent="0.2">
      <c r="S864" s="20"/>
      <c r="AF864" s="1"/>
    </row>
    <row r="865" spans="19:32" x14ac:dyDescent="0.2">
      <c r="S865" s="20"/>
      <c r="AF865" s="1"/>
    </row>
    <row r="866" spans="19:32" x14ac:dyDescent="0.2">
      <c r="S866" s="20"/>
      <c r="AF866" s="1"/>
    </row>
    <row r="867" spans="19:32" x14ac:dyDescent="0.2">
      <c r="S867" s="20"/>
      <c r="AF867" s="1"/>
    </row>
    <row r="868" spans="19:32" x14ac:dyDescent="0.2">
      <c r="S868" s="20"/>
      <c r="AF868" s="1"/>
    </row>
    <row r="869" spans="19:32" x14ac:dyDescent="0.2">
      <c r="S869" s="20"/>
      <c r="AF869" s="1"/>
    </row>
    <row r="870" spans="19:32" x14ac:dyDescent="0.2">
      <c r="S870" s="20"/>
      <c r="AF870" s="1"/>
    </row>
    <row r="871" spans="19:32" x14ac:dyDescent="0.2">
      <c r="S871" s="20"/>
      <c r="AF871" s="1"/>
    </row>
    <row r="872" spans="19:32" x14ac:dyDescent="0.2">
      <c r="S872" s="20"/>
      <c r="AF872" s="1"/>
    </row>
    <row r="873" spans="19:32" x14ac:dyDescent="0.2">
      <c r="S873" s="20"/>
      <c r="AF873" s="1"/>
    </row>
    <row r="874" spans="19:32" x14ac:dyDescent="0.2">
      <c r="S874" s="20"/>
      <c r="AF874" s="1"/>
    </row>
    <row r="875" spans="19:32" x14ac:dyDescent="0.2">
      <c r="S875" s="20"/>
      <c r="AF875" s="1"/>
    </row>
    <row r="876" spans="19:32" x14ac:dyDescent="0.2">
      <c r="S876" s="20"/>
      <c r="AF876" s="1"/>
    </row>
    <row r="877" spans="19:32" x14ac:dyDescent="0.2">
      <c r="S877" s="20"/>
      <c r="AF877" s="1"/>
    </row>
    <row r="878" spans="19:32" x14ac:dyDescent="0.2">
      <c r="S878" s="20"/>
      <c r="AF878" s="1"/>
    </row>
    <row r="879" spans="19:32" x14ac:dyDescent="0.2">
      <c r="S879" s="20"/>
      <c r="AF879" s="1"/>
    </row>
    <row r="880" spans="19:32" x14ac:dyDescent="0.2">
      <c r="S880" s="20"/>
      <c r="AF880" s="1"/>
    </row>
    <row r="881" spans="19:32" x14ac:dyDescent="0.2">
      <c r="S881" s="20"/>
      <c r="AF881" s="1"/>
    </row>
    <row r="882" spans="19:32" x14ac:dyDescent="0.2">
      <c r="S882" s="20"/>
      <c r="AF882" s="1"/>
    </row>
    <row r="883" spans="19:32" x14ac:dyDescent="0.2">
      <c r="S883" s="20"/>
      <c r="AF883" s="1"/>
    </row>
    <row r="884" spans="19:32" x14ac:dyDescent="0.2">
      <c r="S884" s="20"/>
      <c r="AF884" s="1"/>
    </row>
    <row r="885" spans="19:32" x14ac:dyDescent="0.2">
      <c r="S885" s="20"/>
      <c r="AF885" s="1"/>
    </row>
    <row r="886" spans="19:32" x14ac:dyDescent="0.2">
      <c r="S886" s="20"/>
      <c r="AF886" s="1"/>
    </row>
    <row r="887" spans="19:32" x14ac:dyDescent="0.2">
      <c r="S887" s="20"/>
      <c r="AF887" s="1"/>
    </row>
    <row r="888" spans="19:32" x14ac:dyDescent="0.2">
      <c r="S888" s="20"/>
      <c r="AF888" s="1"/>
    </row>
    <row r="889" spans="19:32" x14ac:dyDescent="0.2">
      <c r="S889" s="20"/>
      <c r="AF889" s="1"/>
    </row>
    <row r="890" spans="19:32" x14ac:dyDescent="0.2">
      <c r="S890" s="20"/>
      <c r="AF890" s="1"/>
    </row>
    <row r="891" spans="19:32" x14ac:dyDescent="0.2">
      <c r="S891" s="20"/>
      <c r="AF891" s="1"/>
    </row>
    <row r="892" spans="19:32" x14ac:dyDescent="0.2">
      <c r="S892" s="20"/>
      <c r="AF892" s="1"/>
    </row>
    <row r="893" spans="19:32" x14ac:dyDescent="0.2">
      <c r="S893" s="20"/>
      <c r="AF893" s="1"/>
    </row>
    <row r="894" spans="19:32" x14ac:dyDescent="0.2">
      <c r="S894" s="20"/>
      <c r="AF894" s="1"/>
    </row>
    <row r="895" spans="19:32" x14ac:dyDescent="0.2">
      <c r="S895" s="20"/>
      <c r="AF895" s="1"/>
    </row>
    <row r="896" spans="19:32" x14ac:dyDescent="0.2">
      <c r="S896" s="20"/>
      <c r="AF896" s="1"/>
    </row>
    <row r="897" spans="19:32" x14ac:dyDescent="0.2">
      <c r="S897" s="20"/>
      <c r="AF897" s="1"/>
    </row>
    <row r="898" spans="19:32" x14ac:dyDescent="0.2">
      <c r="S898" s="20"/>
      <c r="AF898" s="1"/>
    </row>
    <row r="899" spans="19:32" x14ac:dyDescent="0.2">
      <c r="S899" s="20"/>
      <c r="AF899" s="1"/>
    </row>
    <row r="900" spans="19:32" x14ac:dyDescent="0.2">
      <c r="S900" s="20"/>
      <c r="AF900" s="1"/>
    </row>
    <row r="901" spans="19:32" x14ac:dyDescent="0.2">
      <c r="S901" s="20"/>
      <c r="AF901" s="1"/>
    </row>
    <row r="902" spans="19:32" x14ac:dyDescent="0.2">
      <c r="S902" s="20"/>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I81"/>
  <sheetViews>
    <sheetView topLeftCell="A28" zoomScale="80" zoomScaleNormal="80" workbookViewId="0">
      <selection activeCell="B49" sqref="B49:K49"/>
    </sheetView>
  </sheetViews>
  <sheetFormatPr defaultColWidth="9.140625" defaultRowHeight="12.75" x14ac:dyDescent="0.2"/>
  <cols>
    <col min="1" max="1" width="29.7109375" style="10" bestFit="1" customWidth="1"/>
    <col min="2" max="2" width="11" style="1" customWidth="1"/>
    <col min="3" max="17" width="9.140625" style="1" customWidth="1"/>
    <col min="18" max="18" width="8" style="1" bestFit="1" customWidth="1"/>
    <col min="19" max="19" width="7.140625" style="20"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8"/>
    </row>
    <row r="2" spans="1:33" x14ac:dyDescent="0.2">
      <c r="A2" s="1"/>
    </row>
    <row r="3" spans="1:33" ht="12.75" customHeight="1" x14ac:dyDescent="0.25">
      <c r="A3" s="12" t="s">
        <v>91</v>
      </c>
      <c r="B3" s="13"/>
      <c r="C3" s="13"/>
      <c r="D3" s="13"/>
      <c r="E3" s="13"/>
      <c r="F3" s="13"/>
      <c r="R3" s="19"/>
    </row>
    <row r="4" spans="1:33" x14ac:dyDescent="0.2">
      <c r="A4" s="1"/>
      <c r="R4" s="19"/>
    </row>
    <row r="5" spans="1:33" x14ac:dyDescent="0.2">
      <c r="A5" s="1"/>
      <c r="R5" s="19"/>
    </row>
    <row r="6" spans="1:33" ht="63.75" x14ac:dyDescent="0.2">
      <c r="A6" s="2" t="s">
        <v>155</v>
      </c>
      <c r="B6" s="3" t="s">
        <v>93</v>
      </c>
      <c r="C6" s="4" t="s">
        <v>94</v>
      </c>
      <c r="D6" s="4" t="s">
        <v>95</v>
      </c>
      <c r="E6" s="4" t="s">
        <v>96</v>
      </c>
      <c r="F6" s="4" t="s">
        <v>97</v>
      </c>
      <c r="G6" s="4" t="s">
        <v>98</v>
      </c>
      <c r="H6" s="4" t="s">
        <v>99</v>
      </c>
      <c r="J6" s="5" t="s">
        <v>156</v>
      </c>
      <c r="K6" s="4" t="s">
        <v>96</v>
      </c>
      <c r="L6" s="4" t="s">
        <v>97</v>
      </c>
      <c r="M6" s="4" t="s">
        <v>98</v>
      </c>
      <c r="N6" s="4" t="s">
        <v>99</v>
      </c>
      <c r="R6" s="6"/>
    </row>
    <row r="7" spans="1:33" x14ac:dyDescent="0.2">
      <c r="A7" s="7" t="s">
        <v>166</v>
      </c>
      <c r="B7" s="14"/>
      <c r="C7" s="14">
        <v>2.75</v>
      </c>
      <c r="D7" s="14">
        <v>2.75</v>
      </c>
      <c r="E7" s="14">
        <v>20.05</v>
      </c>
      <c r="F7" s="14">
        <v>19.22</v>
      </c>
      <c r="G7" s="14">
        <v>19.22</v>
      </c>
      <c r="H7" s="14">
        <v>19.22</v>
      </c>
      <c r="J7" s="7" t="s">
        <v>166</v>
      </c>
      <c r="K7" s="15">
        <v>7.3200000000000001E-3</v>
      </c>
      <c r="L7" s="15">
        <v>7.0400000000000003E-3</v>
      </c>
      <c r="M7" s="15">
        <v>7.0400000000000003E-3</v>
      </c>
      <c r="N7" s="15">
        <v>1.17317</v>
      </c>
      <c r="R7" s="6"/>
      <c r="S7" s="1"/>
    </row>
    <row r="8" spans="1:33" s="9" customFormat="1" x14ac:dyDescent="0.2">
      <c r="A8" s="16"/>
    </row>
    <row r="9" spans="1:33" s="9" customFormat="1" x14ac:dyDescent="0.2">
      <c r="A9" s="16" t="s">
        <v>167</v>
      </c>
      <c r="B9" s="14">
        <v>10</v>
      </c>
    </row>
    <row r="10" spans="1:33" s="9" customFormat="1" x14ac:dyDescent="0.2">
      <c r="A10" s="16"/>
    </row>
    <row r="11" spans="1:33" x14ac:dyDescent="0.2">
      <c r="A11" s="1"/>
      <c r="S11" s="1"/>
    </row>
    <row r="12" spans="1:33" x14ac:dyDescent="0.2">
      <c r="S12" s="1"/>
    </row>
    <row r="13" spans="1:33" x14ac:dyDescent="0.2">
      <c r="A13" s="1"/>
      <c r="S13" s="1"/>
    </row>
    <row r="14" spans="1:33" ht="15.75" x14ac:dyDescent="0.25">
      <c r="A14" s="12" t="s">
        <v>118</v>
      </c>
      <c r="B14" s="13"/>
      <c r="C14" s="13"/>
      <c r="D14" s="13"/>
      <c r="E14" s="13"/>
      <c r="F14" s="13"/>
      <c r="S14" s="1"/>
    </row>
    <row r="15" spans="1:33" x14ac:dyDescent="0.2">
      <c r="S15" s="1" t="s">
        <v>119</v>
      </c>
    </row>
    <row r="16" spans="1:33" ht="64.5" customHeight="1" x14ac:dyDescent="0.2">
      <c r="A16" s="1"/>
      <c r="B16" s="11">
        <v>1</v>
      </c>
      <c r="C16" s="20">
        <v>2</v>
      </c>
      <c r="D16" s="29"/>
      <c r="E16" s="29"/>
      <c r="F16" s="29"/>
      <c r="G16" s="29"/>
      <c r="H16" s="29"/>
      <c r="I16" s="29"/>
      <c r="J16" s="29"/>
      <c r="K16" s="29"/>
      <c r="L16" s="29"/>
      <c r="M16" s="29"/>
      <c r="N16" s="29"/>
      <c r="O16" s="29"/>
      <c r="P16" s="29"/>
      <c r="Q16" s="29"/>
      <c r="S16" s="29" t="s">
        <v>76</v>
      </c>
      <c r="T16" s="29" t="s">
        <v>72</v>
      </c>
      <c r="U16" s="29" t="s">
        <v>61</v>
      </c>
      <c r="V16" s="29" t="s">
        <v>63</v>
      </c>
      <c r="W16" s="29" t="s">
        <v>67</v>
      </c>
      <c r="X16" s="29" t="s">
        <v>65</v>
      </c>
      <c r="Y16" s="29" t="s">
        <v>80</v>
      </c>
      <c r="Z16" s="29" t="s">
        <v>66</v>
      </c>
      <c r="AA16" s="29" t="s">
        <v>78</v>
      </c>
      <c r="AB16" s="29" t="s">
        <v>84</v>
      </c>
      <c r="AC16" s="29" t="s">
        <v>79</v>
      </c>
      <c r="AD16" s="29" t="s">
        <v>85</v>
      </c>
      <c r="AE16" s="29" t="s">
        <v>83</v>
      </c>
      <c r="AF16" s="29" t="s">
        <v>81</v>
      </c>
      <c r="AG16" s="29" t="s">
        <v>168</v>
      </c>
    </row>
    <row r="17" spans="1:34" s="6" customFormat="1" ht="82.5" customHeight="1" x14ac:dyDescent="0.2">
      <c r="B17" s="17"/>
      <c r="C17" s="17" t="s">
        <v>119</v>
      </c>
      <c r="D17" s="17"/>
      <c r="E17" s="17"/>
      <c r="F17" s="17"/>
      <c r="G17" s="17"/>
      <c r="H17" s="17"/>
      <c r="I17" s="17"/>
      <c r="J17" s="17"/>
      <c r="K17" s="17"/>
      <c r="L17" s="17"/>
      <c r="M17" s="17"/>
    </row>
    <row r="18" spans="1:34" ht="17.25" customHeight="1" x14ac:dyDescent="0.2">
      <c r="A18" s="32">
        <f>Calculator!C20</f>
        <v>1156</v>
      </c>
      <c r="B18" s="9">
        <f>A18</f>
        <v>1156</v>
      </c>
      <c r="C18" s="8">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2.75</v>
      </c>
      <c r="D18" s="25"/>
      <c r="E18" s="25"/>
      <c r="F18" s="25"/>
      <c r="G18" s="25"/>
      <c r="H18" s="25"/>
      <c r="I18" s="25"/>
      <c r="J18" s="25"/>
      <c r="K18" s="25"/>
      <c r="L18" s="25"/>
      <c r="M18" s="25"/>
      <c r="N18" s="25"/>
      <c r="O18" s="25"/>
      <c r="P18" s="25"/>
      <c r="Q18" s="25"/>
      <c r="S18" s="30">
        <f>$C18</f>
        <v>2.75</v>
      </c>
      <c r="T18" s="30">
        <f t="shared" ref="T18:AG18" si="0">$C18</f>
        <v>2.75</v>
      </c>
      <c r="U18" s="30">
        <f t="shared" si="0"/>
        <v>2.75</v>
      </c>
      <c r="V18" s="30">
        <f t="shared" si="0"/>
        <v>2.75</v>
      </c>
      <c r="W18" s="30">
        <f t="shared" si="0"/>
        <v>2.75</v>
      </c>
      <c r="X18" s="30">
        <f t="shared" si="0"/>
        <v>2.75</v>
      </c>
      <c r="Y18" s="30">
        <f t="shared" si="0"/>
        <v>2.75</v>
      </c>
      <c r="Z18" s="30">
        <f t="shared" si="0"/>
        <v>2.75</v>
      </c>
      <c r="AA18" s="30">
        <f t="shared" si="0"/>
        <v>2.75</v>
      </c>
      <c r="AB18" s="30">
        <f t="shared" si="0"/>
        <v>2.75</v>
      </c>
      <c r="AC18" s="30">
        <f t="shared" si="0"/>
        <v>2.75</v>
      </c>
      <c r="AD18" s="30">
        <f t="shared" si="0"/>
        <v>2.75</v>
      </c>
      <c r="AE18" s="30">
        <f t="shared" si="0"/>
        <v>2.75</v>
      </c>
      <c r="AF18" s="30">
        <f t="shared" si="0"/>
        <v>2.75</v>
      </c>
      <c r="AG18" s="30">
        <f t="shared" si="0"/>
        <v>2.75</v>
      </c>
    </row>
    <row r="19" spans="1:34" x14ac:dyDescent="0.2">
      <c r="A19" s="1"/>
    </row>
    <row r="20" spans="1:34" x14ac:dyDescent="0.2">
      <c r="A20" s="1"/>
    </row>
    <row r="21" spans="1:34" ht="15.75" thickBot="1" x14ac:dyDescent="0.3">
      <c r="A21"/>
      <c r="B21" s="247" t="s">
        <v>169</v>
      </c>
      <c r="C21" s="248"/>
      <c r="D21" s="248"/>
      <c r="E21" s="248"/>
    </row>
    <row r="22" spans="1:34" ht="15.75" thickBot="1" x14ac:dyDescent="0.3">
      <c r="A22" s="44" t="s">
        <v>170</v>
      </c>
      <c r="B22" t="s">
        <v>171</v>
      </c>
      <c r="C22" s="45">
        <v>4.8600000000000003</v>
      </c>
      <c r="D22" s="46">
        <v>4.9400000000000004</v>
      </c>
      <c r="E22" s="47">
        <v>5.03</v>
      </c>
    </row>
    <row r="23" spans="1:34" ht="26.25" thickBot="1" x14ac:dyDescent="0.25">
      <c r="A23" s="48" t="s">
        <v>172</v>
      </c>
      <c r="B23" s="67"/>
      <c r="C23" s="40">
        <v>6.99</v>
      </c>
      <c r="D23" s="41">
        <v>7.1000000000000005</v>
      </c>
      <c r="E23" s="43">
        <v>7.23</v>
      </c>
    </row>
    <row r="24" spans="1:34" ht="13.5" thickBot="1" x14ac:dyDescent="0.25">
      <c r="A24" s="49" t="s">
        <v>173</v>
      </c>
      <c r="B24" s="68"/>
      <c r="C24" s="50">
        <v>37.6</v>
      </c>
      <c r="D24" s="51">
        <v>38.200000000000003</v>
      </c>
      <c r="E24" s="52">
        <v>38.89</v>
      </c>
    </row>
    <row r="27" spans="1:34" ht="15.75" x14ac:dyDescent="0.25">
      <c r="A27" s="12" t="s">
        <v>123</v>
      </c>
      <c r="B27" s="13"/>
      <c r="C27" s="13"/>
      <c r="D27" s="13"/>
      <c r="E27" s="13"/>
      <c r="F27" s="13"/>
      <c r="S27" s="1"/>
      <c r="V27" s="20"/>
      <c r="W27" s="20"/>
      <c r="Y27" s="20"/>
      <c r="Z27" s="20"/>
      <c r="AA27" s="20"/>
      <c r="AB27"/>
      <c r="AC27"/>
      <c r="AD27" s="20"/>
      <c r="AE27" s="20"/>
      <c r="AF27" s="20"/>
    </row>
    <row r="28" spans="1:34" ht="15" x14ac:dyDescent="0.25">
      <c r="S28" s="1"/>
      <c r="V28" s="20"/>
      <c r="W28" s="20"/>
      <c r="Y28" s="20"/>
      <c r="Z28" s="20"/>
      <c r="AA28" s="20"/>
      <c r="AB28"/>
      <c r="AC28"/>
      <c r="AD28" s="20"/>
      <c r="AE28" s="20"/>
      <c r="AF28" s="20"/>
    </row>
    <row r="29" spans="1:34" ht="15" x14ac:dyDescent="0.25">
      <c r="S29" s="1"/>
      <c r="V29" s="20"/>
      <c r="W29" s="20"/>
      <c r="Y29" s="20"/>
      <c r="Z29" s="20"/>
      <c r="AA29" s="20"/>
      <c r="AB29"/>
      <c r="AC29"/>
      <c r="AD29" s="20"/>
      <c r="AE29" s="20"/>
      <c r="AF29" s="20"/>
    </row>
    <row r="30" spans="1:34" ht="15" x14ac:dyDescent="0.25">
      <c r="A30" s="224" t="s">
        <v>174</v>
      </c>
      <c r="B30" s="224"/>
      <c r="C30" s="224"/>
      <c r="D30" s="224"/>
      <c r="E30" s="224"/>
      <c r="F30" s="224"/>
      <c r="G30" s="224"/>
      <c r="H30" s="224"/>
      <c r="I30" s="224"/>
      <c r="J30" s="224"/>
      <c r="S30" s="1"/>
      <c r="V30" s="20"/>
      <c r="W30" s="20"/>
      <c r="Y30" s="20"/>
      <c r="Z30" s="20"/>
      <c r="AA30" s="20"/>
      <c r="AB30"/>
      <c r="AC30"/>
      <c r="AD30" s="20"/>
      <c r="AE30" s="20"/>
      <c r="AF30" s="20"/>
    </row>
    <row r="31" spans="1:34" ht="15.75" thickBot="1" x14ac:dyDescent="0.3">
      <c r="A31" s="36"/>
      <c r="B31" s="229" t="s">
        <v>126</v>
      </c>
      <c r="C31" s="227"/>
      <c r="D31" s="227"/>
      <c r="E31" s="228"/>
      <c r="F31" s="226" t="s">
        <v>127</v>
      </c>
      <c r="G31" s="227"/>
      <c r="H31" s="227"/>
      <c r="I31" s="228"/>
      <c r="J31" s="226" t="s">
        <v>128</v>
      </c>
      <c r="K31" s="227"/>
      <c r="L31" s="227"/>
      <c r="M31" s="227"/>
      <c r="S31" s="1"/>
      <c r="V31" s="20"/>
      <c r="W31" s="20"/>
      <c r="Y31" s="20"/>
      <c r="Z31" s="20"/>
      <c r="AA31" s="20"/>
      <c r="AB31"/>
      <c r="AC31"/>
      <c r="AD31" s="20"/>
      <c r="AE31" s="20"/>
      <c r="AF31" s="20"/>
    </row>
    <row r="32" spans="1:34" ht="26.25" thickBot="1" x14ac:dyDescent="0.3">
      <c r="A32" s="36"/>
      <c r="B32" s="75" t="str">
        <f>'Airways Aerodrome'!B42</f>
        <v>2021/22 Prices</v>
      </c>
      <c r="C32" s="76" t="str">
        <f>'Airways Aerodrome'!C42</f>
        <v>2022/23 Prices</v>
      </c>
      <c r="D32" s="77" t="str">
        <f>'Airways Aerodrome'!D42</f>
        <v>2023/24 Prices</v>
      </c>
      <c r="E32" s="77" t="str">
        <f>'Airways Aerodrome'!E42</f>
        <v>2024/25 Prices</v>
      </c>
      <c r="F32" s="73" t="str">
        <f>'Airways Aerodrome'!F42</f>
        <v>2021/22 Prices</v>
      </c>
      <c r="G32" s="73" t="str">
        <f>'Airways Aerodrome'!G42</f>
        <v>2022/23 Prices</v>
      </c>
      <c r="H32" s="73" t="str">
        <f>'Airways Aerodrome'!H42</f>
        <v>2023/24 Prices</v>
      </c>
      <c r="I32" s="73" t="str">
        <f>'Airways Aerodrome'!I42</f>
        <v>2024/25 Prices</v>
      </c>
      <c r="J32" s="73" t="str">
        <f>'Airways Aerodrome'!J42</f>
        <v>2021/22 Prices</v>
      </c>
      <c r="K32" s="73" t="str">
        <f>'Airways Aerodrome'!K42</f>
        <v>2022/23 Prices</v>
      </c>
      <c r="L32" s="73" t="str">
        <f>'Airways Aerodrome'!L42</f>
        <v>2023/24 Prices</v>
      </c>
      <c r="M32" s="74" t="str">
        <f>'Airways Aerodrome'!M42</f>
        <v>2024/25 Prices</v>
      </c>
      <c r="S32" s="1"/>
      <c r="X32" s="20"/>
      <c r="Y32" s="20"/>
      <c r="AA32" s="20"/>
      <c r="AB32" s="20"/>
      <c r="AC32" s="20"/>
      <c r="AD32"/>
      <c r="AE32"/>
      <c r="AF32" s="20"/>
      <c r="AG32" s="20"/>
      <c r="AH32" s="20"/>
    </row>
    <row r="33" spans="1:35" ht="15.75" thickBot="1" x14ac:dyDescent="0.3">
      <c r="A33" s="66" t="s">
        <v>76</v>
      </c>
      <c r="B33" s="110">
        <v>3.63</v>
      </c>
      <c r="C33" s="53">
        <v>3.79</v>
      </c>
      <c r="D33" s="46">
        <v>3.88</v>
      </c>
      <c r="E33" s="46">
        <v>3.95</v>
      </c>
      <c r="F33" s="110">
        <v>20.34</v>
      </c>
      <c r="G33" s="53">
        <v>21.23</v>
      </c>
      <c r="H33" s="46">
        <v>21.74</v>
      </c>
      <c r="I33" s="46">
        <v>22.11</v>
      </c>
      <c r="J33" s="110">
        <v>11.25</v>
      </c>
      <c r="K33" s="53">
        <v>12.15</v>
      </c>
      <c r="L33" s="46">
        <v>13.52</v>
      </c>
      <c r="M33" s="46">
        <v>13.75</v>
      </c>
      <c r="O33" s="150"/>
      <c r="P33" s="150"/>
      <c r="S33" s="1"/>
      <c r="Y33" s="20"/>
      <c r="Z33" s="20"/>
      <c r="AB33" s="20"/>
      <c r="AC33" s="20"/>
      <c r="AD33" s="20"/>
      <c r="AE33"/>
      <c r="AF33"/>
      <c r="AG33" s="20"/>
      <c r="AH33" s="20"/>
      <c r="AI33" s="20"/>
    </row>
    <row r="34" spans="1:35" ht="15.75" thickBot="1" x14ac:dyDescent="0.3">
      <c r="A34" s="67" t="s">
        <v>78</v>
      </c>
      <c r="B34" s="111">
        <v>3.63</v>
      </c>
      <c r="C34" s="42">
        <v>3.79</v>
      </c>
      <c r="D34" s="41">
        <v>3.88</v>
      </c>
      <c r="E34" s="41">
        <v>3.95</v>
      </c>
      <c r="F34" s="111">
        <v>20.34</v>
      </c>
      <c r="G34" s="42">
        <v>21.23</v>
      </c>
      <c r="H34" s="41">
        <v>21.74</v>
      </c>
      <c r="I34" s="41">
        <v>22.11</v>
      </c>
      <c r="J34" s="111">
        <v>17.28</v>
      </c>
      <c r="K34" s="42">
        <v>18.66</v>
      </c>
      <c r="L34" s="41">
        <v>20.77</v>
      </c>
      <c r="M34" s="41">
        <v>21.12</v>
      </c>
      <c r="O34" s="150"/>
      <c r="P34" s="150"/>
      <c r="S34" s="1"/>
      <c r="Y34" s="20"/>
      <c r="Z34" s="20"/>
      <c r="AB34" s="20"/>
      <c r="AC34" s="20"/>
      <c r="AD34" s="20"/>
      <c r="AE34"/>
      <c r="AF34"/>
      <c r="AG34" s="20"/>
      <c r="AH34" s="20"/>
      <c r="AI34" s="20"/>
    </row>
    <row r="35" spans="1:35" ht="15.75" thickBot="1" x14ac:dyDescent="0.3">
      <c r="A35" s="69" t="s">
        <v>81</v>
      </c>
      <c r="B35" s="111">
        <v>3.63</v>
      </c>
      <c r="C35" s="38">
        <v>3.79</v>
      </c>
      <c r="D35" s="37">
        <v>3.88</v>
      </c>
      <c r="E35" s="37">
        <v>3.95</v>
      </c>
      <c r="F35" s="111">
        <v>20.34</v>
      </c>
      <c r="G35" s="38">
        <v>21.23</v>
      </c>
      <c r="H35" s="37">
        <v>21.74</v>
      </c>
      <c r="I35" s="37">
        <v>22.11</v>
      </c>
      <c r="J35" s="111">
        <v>10.46</v>
      </c>
      <c r="K35" s="38">
        <v>11.3</v>
      </c>
      <c r="L35" s="37">
        <v>12.58</v>
      </c>
      <c r="M35" s="37">
        <v>12.79</v>
      </c>
      <c r="O35" s="150"/>
      <c r="P35" s="150"/>
      <c r="S35" s="1"/>
      <c r="Y35" s="20"/>
      <c r="Z35" s="20"/>
      <c r="AB35" s="20"/>
      <c r="AC35" s="20"/>
      <c r="AD35" s="20"/>
      <c r="AE35"/>
      <c r="AF35"/>
      <c r="AG35" s="20"/>
      <c r="AH35" s="20"/>
      <c r="AI35" s="20"/>
    </row>
    <row r="36" spans="1:35" ht="15.75" thickBot="1" x14ac:dyDescent="0.3">
      <c r="A36" s="67" t="s">
        <v>63</v>
      </c>
      <c r="B36" s="111">
        <v>3.63</v>
      </c>
      <c r="C36" s="42">
        <v>3.79</v>
      </c>
      <c r="D36" s="41">
        <v>3.88</v>
      </c>
      <c r="E36" s="41">
        <v>3.95</v>
      </c>
      <c r="F36" s="111">
        <v>20.34</v>
      </c>
      <c r="G36" s="42">
        <v>21.23</v>
      </c>
      <c r="H36" s="41">
        <v>21.74</v>
      </c>
      <c r="I36" s="41">
        <v>22.11</v>
      </c>
      <c r="J36" s="111">
        <v>11.14</v>
      </c>
      <c r="K36" s="42">
        <v>12.03</v>
      </c>
      <c r="L36" s="41">
        <v>13.39</v>
      </c>
      <c r="M36" s="41">
        <v>13.62</v>
      </c>
      <c r="O36" s="150"/>
      <c r="P36" s="150"/>
      <c r="S36" s="1"/>
      <c r="Y36" s="20"/>
      <c r="Z36" s="20"/>
      <c r="AB36" s="20"/>
      <c r="AC36" s="20"/>
      <c r="AD36" s="20"/>
      <c r="AE36"/>
      <c r="AF36"/>
      <c r="AG36" s="20"/>
      <c r="AH36" s="20"/>
      <c r="AI36" s="20"/>
    </row>
    <row r="37" spans="1:35" ht="15.75" thickBot="1" x14ac:dyDescent="0.3">
      <c r="A37" s="69" t="s">
        <v>85</v>
      </c>
      <c r="B37" s="111">
        <v>3.63</v>
      </c>
      <c r="C37" s="38">
        <v>3.79</v>
      </c>
      <c r="D37" s="37">
        <v>3.88</v>
      </c>
      <c r="E37" s="37">
        <v>3.95</v>
      </c>
      <c r="F37" s="111">
        <v>20.34</v>
      </c>
      <c r="G37" s="38">
        <v>21.23</v>
      </c>
      <c r="H37" s="37">
        <v>21.74</v>
      </c>
      <c r="I37" s="37">
        <v>22.11</v>
      </c>
      <c r="J37" s="111">
        <v>5.13</v>
      </c>
      <c r="K37" s="38">
        <v>5.54</v>
      </c>
      <c r="L37" s="37">
        <v>6.17</v>
      </c>
      <c r="M37" s="37">
        <v>6.27</v>
      </c>
      <c r="O37" s="150"/>
      <c r="P37" s="150"/>
      <c r="S37" s="1"/>
      <c r="Y37" s="20"/>
      <c r="Z37" s="20"/>
      <c r="AB37" s="20"/>
      <c r="AC37" s="20"/>
      <c r="AD37" s="20"/>
      <c r="AE37"/>
      <c r="AF37"/>
      <c r="AG37" s="20"/>
      <c r="AH37" s="20"/>
      <c r="AI37" s="20"/>
    </row>
    <row r="38" spans="1:35" ht="15.75" thickBot="1" x14ac:dyDescent="0.3">
      <c r="A38" s="67" t="s">
        <v>67</v>
      </c>
      <c r="B38" s="111">
        <v>3.63</v>
      </c>
      <c r="C38" s="42">
        <v>3.79</v>
      </c>
      <c r="D38" s="41">
        <v>3.88</v>
      </c>
      <c r="E38" s="41">
        <v>3.95</v>
      </c>
      <c r="F38" s="111">
        <v>20.34</v>
      </c>
      <c r="G38" s="42">
        <v>21.23</v>
      </c>
      <c r="H38" s="41">
        <v>21.74</v>
      </c>
      <c r="I38" s="41">
        <v>22.11</v>
      </c>
      <c r="J38" s="111">
        <v>4.07</v>
      </c>
      <c r="K38" s="42">
        <v>3.26</v>
      </c>
      <c r="L38" s="41">
        <v>3.45</v>
      </c>
      <c r="M38" s="41">
        <v>3.23</v>
      </c>
      <c r="O38" s="150"/>
      <c r="P38" s="150"/>
      <c r="S38" s="1"/>
      <c r="Y38" s="20"/>
      <c r="Z38" s="20"/>
      <c r="AB38" s="20"/>
      <c r="AC38" s="20"/>
      <c r="AD38" s="20"/>
      <c r="AE38"/>
      <c r="AF38"/>
      <c r="AG38" s="20"/>
      <c r="AH38" s="20"/>
      <c r="AI38" s="20"/>
    </row>
    <row r="39" spans="1:35" ht="15.75" thickBot="1" x14ac:dyDescent="0.3">
      <c r="A39" s="69" t="s">
        <v>66</v>
      </c>
      <c r="B39" s="111">
        <v>3.63</v>
      </c>
      <c r="C39" s="38">
        <v>3.79</v>
      </c>
      <c r="D39" s="37">
        <v>3.88</v>
      </c>
      <c r="E39" s="37">
        <v>3.95</v>
      </c>
      <c r="F39" s="111">
        <v>20.34</v>
      </c>
      <c r="G39" s="38">
        <v>21.23</v>
      </c>
      <c r="H39" s="37">
        <v>21.74</v>
      </c>
      <c r="I39" s="37">
        <v>22.11</v>
      </c>
      <c r="J39" s="111">
        <v>4.2</v>
      </c>
      <c r="K39" s="38">
        <v>4.54</v>
      </c>
      <c r="L39" s="37">
        <v>5.05</v>
      </c>
      <c r="M39" s="37">
        <v>5.14</v>
      </c>
      <c r="O39" s="150"/>
      <c r="P39" s="150"/>
      <c r="S39" s="1"/>
      <c r="Y39" s="20"/>
      <c r="Z39" s="20"/>
      <c r="AB39" s="20"/>
      <c r="AC39" s="20"/>
      <c r="AD39" s="20"/>
      <c r="AE39"/>
      <c r="AF39"/>
      <c r="AG39" s="20"/>
      <c r="AH39" s="20"/>
      <c r="AI39" s="20"/>
    </row>
    <row r="40" spans="1:35" ht="15.75" thickBot="1" x14ac:dyDescent="0.3">
      <c r="A40" s="67" t="s">
        <v>84</v>
      </c>
      <c r="B40" s="111">
        <v>3.63</v>
      </c>
      <c r="C40" s="42">
        <v>3.79</v>
      </c>
      <c r="D40" s="41">
        <v>3.88</v>
      </c>
      <c r="E40" s="41">
        <v>3.95</v>
      </c>
      <c r="F40" s="111">
        <v>20.34</v>
      </c>
      <c r="G40" s="42">
        <v>21.23</v>
      </c>
      <c r="H40" s="41">
        <v>21.74</v>
      </c>
      <c r="I40" s="41">
        <v>22.11</v>
      </c>
      <c r="J40" s="111">
        <v>10.6</v>
      </c>
      <c r="K40" s="42">
        <v>11.45</v>
      </c>
      <c r="L40" s="41">
        <v>12.74</v>
      </c>
      <c r="M40" s="41">
        <v>12.96</v>
      </c>
      <c r="O40" s="150"/>
      <c r="P40" s="150"/>
      <c r="S40" s="1"/>
      <c r="Y40" s="20"/>
      <c r="Z40" s="20"/>
      <c r="AB40" s="20"/>
      <c r="AC40" s="20"/>
      <c r="AD40" s="20"/>
      <c r="AE40"/>
      <c r="AF40"/>
      <c r="AG40" s="20"/>
      <c r="AH40" s="20"/>
      <c r="AI40" s="20"/>
    </row>
    <row r="41" spans="1:35" ht="15.75" thickBot="1" x14ac:dyDescent="0.3">
      <c r="A41" s="69" t="s">
        <v>83</v>
      </c>
      <c r="B41" s="111">
        <v>3.63</v>
      </c>
      <c r="C41" s="38">
        <v>3.79</v>
      </c>
      <c r="D41" s="37">
        <v>3.88</v>
      </c>
      <c r="E41" s="37">
        <v>3.95</v>
      </c>
      <c r="F41" s="111">
        <v>20.34</v>
      </c>
      <c r="G41" s="38">
        <v>21.23</v>
      </c>
      <c r="H41" s="37">
        <v>21.74</v>
      </c>
      <c r="I41" s="37">
        <v>22.11</v>
      </c>
      <c r="J41" s="111">
        <v>9.07</v>
      </c>
      <c r="K41" s="38">
        <v>9.8000000000000007</v>
      </c>
      <c r="L41" s="37">
        <v>10.91</v>
      </c>
      <c r="M41" s="37">
        <v>11.1</v>
      </c>
      <c r="O41" s="150"/>
      <c r="P41" s="150"/>
      <c r="S41" s="1"/>
      <c r="Y41" s="20"/>
      <c r="Z41" s="20"/>
      <c r="AB41" s="20"/>
      <c r="AC41" s="20"/>
      <c r="AD41" s="20"/>
      <c r="AE41"/>
      <c r="AF41"/>
      <c r="AG41" s="20"/>
      <c r="AH41" s="20"/>
      <c r="AI41" s="20"/>
    </row>
    <row r="42" spans="1:35" ht="15.75" thickBot="1" x14ac:dyDescent="0.3">
      <c r="A42" s="67" t="s">
        <v>65</v>
      </c>
      <c r="B42" s="111">
        <v>3.63</v>
      </c>
      <c r="C42" s="42">
        <v>3.79</v>
      </c>
      <c r="D42" s="41">
        <v>3.88</v>
      </c>
      <c r="E42" s="41">
        <v>3.95</v>
      </c>
      <c r="F42" s="111">
        <v>20.34</v>
      </c>
      <c r="G42" s="42">
        <v>21.23</v>
      </c>
      <c r="H42" s="41">
        <v>21.74</v>
      </c>
      <c r="I42" s="41">
        <v>22.11</v>
      </c>
      <c r="J42" s="111">
        <v>13.82</v>
      </c>
      <c r="K42" s="42">
        <v>14.93</v>
      </c>
      <c r="L42" s="41">
        <v>16.62</v>
      </c>
      <c r="M42" s="41">
        <v>16.899999999999999</v>
      </c>
      <c r="O42" s="150"/>
      <c r="P42" s="150"/>
      <c r="S42" s="1"/>
      <c r="Y42" s="20"/>
      <c r="Z42" s="20"/>
      <c r="AB42" s="20"/>
      <c r="AC42" s="20"/>
      <c r="AD42" s="20"/>
      <c r="AE42"/>
      <c r="AF42"/>
      <c r="AG42" s="20"/>
      <c r="AH42" s="20"/>
      <c r="AI42" s="20"/>
    </row>
    <row r="43" spans="1:35" ht="15.75" thickBot="1" x14ac:dyDescent="0.3">
      <c r="A43" s="69" t="s">
        <v>61</v>
      </c>
      <c r="B43" s="111">
        <v>3.63</v>
      </c>
      <c r="C43" s="38">
        <v>3.79</v>
      </c>
      <c r="D43" s="37">
        <v>3.88</v>
      </c>
      <c r="E43" s="37">
        <v>3.95</v>
      </c>
      <c r="F43" s="111">
        <v>20.34</v>
      </c>
      <c r="G43" s="38">
        <v>21.23</v>
      </c>
      <c r="H43" s="37">
        <v>21.74</v>
      </c>
      <c r="I43" s="37">
        <v>22.11</v>
      </c>
      <c r="J43" s="111">
        <v>16.36</v>
      </c>
      <c r="K43" s="38">
        <v>17.670000000000002</v>
      </c>
      <c r="L43" s="37">
        <v>19.670000000000002</v>
      </c>
      <c r="M43" s="37">
        <v>20</v>
      </c>
      <c r="O43" s="150"/>
      <c r="P43" s="150"/>
      <c r="S43" s="1"/>
      <c r="Y43" s="20"/>
      <c r="Z43" s="20"/>
      <c r="AB43" s="20"/>
      <c r="AC43" s="20"/>
      <c r="AD43" s="20"/>
      <c r="AE43"/>
      <c r="AF43"/>
      <c r="AG43" s="20"/>
      <c r="AH43" s="20"/>
      <c r="AI43" s="20"/>
    </row>
    <row r="44" spans="1:35" ht="15.75" thickBot="1" x14ac:dyDescent="0.3">
      <c r="A44" s="67" t="s">
        <v>72</v>
      </c>
      <c r="B44" s="111">
        <v>3.63</v>
      </c>
      <c r="C44" s="42">
        <v>3.79</v>
      </c>
      <c r="D44" s="41">
        <v>3.88</v>
      </c>
      <c r="E44" s="41">
        <v>3.95</v>
      </c>
      <c r="F44" s="111">
        <v>20.34</v>
      </c>
      <c r="G44" s="42">
        <v>21.23</v>
      </c>
      <c r="H44" s="41">
        <v>21.74</v>
      </c>
      <c r="I44" s="41">
        <v>22.11</v>
      </c>
      <c r="J44" s="111">
        <v>17.28</v>
      </c>
      <c r="K44" s="42">
        <v>18.66</v>
      </c>
      <c r="L44" s="41">
        <v>20.77</v>
      </c>
      <c r="M44" s="41">
        <v>21.12</v>
      </c>
      <c r="O44" s="150"/>
      <c r="P44" s="150"/>
      <c r="S44" s="1"/>
      <c r="Y44" s="20"/>
      <c r="Z44" s="20"/>
      <c r="AB44" s="20"/>
      <c r="AC44" s="20"/>
      <c r="AD44" s="20"/>
      <c r="AE44"/>
      <c r="AF44"/>
      <c r="AG44" s="20"/>
      <c r="AH44" s="20"/>
      <c r="AI44" s="20"/>
    </row>
    <row r="45" spans="1:35" ht="15.75" thickBot="1" x14ac:dyDescent="0.3">
      <c r="A45" s="69" t="s">
        <v>80</v>
      </c>
      <c r="B45" s="111">
        <v>3.63</v>
      </c>
      <c r="C45" s="38">
        <v>3.79</v>
      </c>
      <c r="D45" s="37">
        <v>3.88</v>
      </c>
      <c r="E45" s="37">
        <v>3.95</v>
      </c>
      <c r="F45" s="111">
        <v>20.34</v>
      </c>
      <c r="G45" s="38">
        <v>21.23</v>
      </c>
      <c r="H45" s="37">
        <v>21.74</v>
      </c>
      <c r="I45" s="37">
        <v>22.11</v>
      </c>
      <c r="J45" s="111">
        <v>17.28</v>
      </c>
      <c r="K45" s="38">
        <v>18.66</v>
      </c>
      <c r="L45" s="37">
        <v>20.77</v>
      </c>
      <c r="M45" s="37">
        <v>21.12</v>
      </c>
      <c r="O45" s="150"/>
      <c r="P45" s="150"/>
      <c r="S45" s="1"/>
      <c r="Y45" s="20"/>
      <c r="Z45" s="20"/>
      <c r="AB45" s="20"/>
      <c r="AC45" s="20"/>
      <c r="AD45" s="20"/>
      <c r="AE45"/>
      <c r="AF45"/>
      <c r="AG45" s="20"/>
      <c r="AH45" s="20"/>
      <c r="AI45" s="20"/>
    </row>
    <row r="46" spans="1:35" ht="15.75" thickBot="1" x14ac:dyDescent="0.3">
      <c r="A46" s="109" t="s">
        <v>79</v>
      </c>
      <c r="B46" s="112">
        <v>3.63</v>
      </c>
      <c r="C46" s="60">
        <v>3.79</v>
      </c>
      <c r="D46" s="61">
        <v>3.88</v>
      </c>
      <c r="E46" s="61">
        <v>3.95</v>
      </c>
      <c r="F46" s="112">
        <v>20.34</v>
      </c>
      <c r="G46" s="60">
        <v>21.23</v>
      </c>
      <c r="H46" s="61">
        <v>21.74</v>
      </c>
      <c r="I46" s="61">
        <v>22.11</v>
      </c>
      <c r="J46" s="112">
        <v>17.28</v>
      </c>
      <c r="K46" s="60">
        <v>18.66</v>
      </c>
      <c r="L46" s="61">
        <v>20.77</v>
      </c>
      <c r="M46" s="61">
        <v>21.12</v>
      </c>
      <c r="O46" s="150"/>
      <c r="P46" s="150"/>
      <c r="S46" s="1"/>
      <c r="Y46" s="20"/>
      <c r="Z46" s="20"/>
      <c r="AB46" s="20"/>
      <c r="AC46" s="20"/>
      <c r="AD46" s="20"/>
      <c r="AE46"/>
      <c r="AF46"/>
      <c r="AG46" s="20"/>
      <c r="AH46" s="20"/>
      <c r="AI46" s="20"/>
    </row>
    <row r="47" spans="1:35" ht="15" x14ac:dyDescent="0.25">
      <c r="S47" s="1"/>
      <c r="V47" s="20"/>
      <c r="W47" s="20"/>
      <c r="Y47" s="20"/>
      <c r="Z47" s="20"/>
      <c r="AA47" s="20"/>
      <c r="AB47"/>
      <c r="AC47"/>
      <c r="AD47" s="20"/>
      <c r="AE47" s="20"/>
      <c r="AF47" s="20"/>
    </row>
    <row r="48" spans="1:35" ht="15.75" x14ac:dyDescent="0.25">
      <c r="A48" s="12" t="s">
        <v>136</v>
      </c>
      <c r="B48" s="13"/>
      <c r="C48" s="13"/>
      <c r="D48" s="13"/>
      <c r="E48" s="13"/>
      <c r="F48" s="13"/>
      <c r="S48" s="1"/>
      <c r="V48" s="20"/>
      <c r="W48" s="20"/>
      <c r="Y48" s="20"/>
      <c r="Z48" s="20"/>
      <c r="AA48" s="20"/>
      <c r="AB48"/>
      <c r="AC48"/>
      <c r="AD48" s="20"/>
      <c r="AE48" s="20"/>
      <c r="AF48" s="20"/>
    </row>
    <row r="49" spans="1:32" ht="15" x14ac:dyDescent="0.25">
      <c r="B49" s="35"/>
      <c r="S49" s="1"/>
      <c r="V49" s="20"/>
      <c r="W49" s="20"/>
      <c r="Y49" s="20"/>
      <c r="Z49" s="20"/>
      <c r="AA49" s="20"/>
      <c r="AB49"/>
      <c r="AC49"/>
      <c r="AD49" s="20"/>
      <c r="AE49" s="20"/>
      <c r="AF49" s="20"/>
    </row>
    <row r="50" spans="1:32" ht="15" x14ac:dyDescent="0.25">
      <c r="A50" s="10" t="s">
        <v>137</v>
      </c>
      <c r="B50" s="35"/>
      <c r="S50" s="1"/>
      <c r="V50" s="20"/>
      <c r="W50" s="20"/>
      <c r="Y50" s="20"/>
      <c r="Z50" s="20"/>
      <c r="AA50" s="20"/>
      <c r="AB50"/>
      <c r="AC50"/>
      <c r="AD50" s="20"/>
      <c r="AE50" s="20"/>
      <c r="AF50" s="20"/>
    </row>
    <row r="51" spans="1:32" ht="15" x14ac:dyDescent="0.25">
      <c r="B51" s="35"/>
      <c r="S51" s="1"/>
      <c r="V51" s="20"/>
      <c r="W51" s="20"/>
      <c r="Y51" s="20"/>
      <c r="Z51" s="20"/>
      <c r="AA51" s="20"/>
      <c r="AB51"/>
      <c r="AC51"/>
      <c r="AD51" s="20"/>
      <c r="AE51" s="20"/>
      <c r="AF51" s="20"/>
    </row>
    <row r="52" spans="1:32" ht="15" x14ac:dyDescent="0.25">
      <c r="A52" s="86" t="s">
        <v>138</v>
      </c>
      <c r="B52" s="220" t="s">
        <v>139</v>
      </c>
      <c r="C52" s="220"/>
      <c r="D52" s="220"/>
      <c r="E52" s="220"/>
      <c r="F52" s="220"/>
      <c r="S52" s="1"/>
      <c r="V52" s="20"/>
      <c r="W52" s="20"/>
      <c r="Y52" s="20"/>
      <c r="Z52" s="20"/>
      <c r="AA52" s="20"/>
      <c r="AB52"/>
      <c r="AC52"/>
      <c r="AD52" s="20"/>
      <c r="AE52" s="20"/>
      <c r="AF52" s="20"/>
    </row>
    <row r="53" spans="1:32" ht="15" x14ac:dyDescent="0.25">
      <c r="A53" s="86" t="s">
        <v>140</v>
      </c>
      <c r="B53" s="220" t="s">
        <v>141</v>
      </c>
      <c r="C53" s="220"/>
      <c r="D53" s="220"/>
      <c r="E53" s="220"/>
      <c r="F53" s="220"/>
      <c r="S53" s="1"/>
      <c r="V53" s="20"/>
      <c r="W53" s="20"/>
      <c r="Y53" s="20"/>
      <c r="Z53" s="20"/>
      <c r="AA53" s="20"/>
      <c r="AB53"/>
      <c r="AC53"/>
      <c r="AD53" s="20"/>
      <c r="AE53" s="20"/>
      <c r="AF53" s="20"/>
    </row>
    <row r="54" spans="1:32" ht="15" x14ac:dyDescent="0.25">
      <c r="A54" s="86" t="s">
        <v>142</v>
      </c>
      <c r="B54" s="220" t="s">
        <v>143</v>
      </c>
      <c r="C54" s="220"/>
      <c r="D54" s="220"/>
      <c r="E54" s="220"/>
      <c r="F54" s="220"/>
      <c r="S54" s="1"/>
      <c r="V54" s="20"/>
      <c r="W54" s="20"/>
      <c r="Y54" s="20"/>
      <c r="Z54" s="20"/>
      <c r="AA54" s="20"/>
      <c r="AB54"/>
      <c r="AC54"/>
      <c r="AD54" s="20"/>
      <c r="AE54" s="20"/>
      <c r="AF54" s="20"/>
    </row>
    <row r="55" spans="1:32" ht="15" x14ac:dyDescent="0.25">
      <c r="B55" s="220"/>
      <c r="C55" s="220"/>
      <c r="D55" s="220"/>
      <c r="E55" s="220"/>
      <c r="F55" s="220"/>
      <c r="S55" s="1"/>
      <c r="V55" s="20"/>
      <c r="W55" s="20"/>
      <c r="Y55" s="20"/>
      <c r="Z55" s="20"/>
      <c r="AA55" s="20"/>
      <c r="AB55"/>
      <c r="AC55"/>
      <c r="AD55" s="20"/>
      <c r="AE55" s="20"/>
      <c r="AF55" s="20"/>
    </row>
    <row r="56" spans="1:32" ht="15.75" x14ac:dyDescent="0.25">
      <c r="A56" s="12" t="s">
        <v>144</v>
      </c>
      <c r="B56" s="13"/>
      <c r="C56" s="13"/>
      <c r="D56" s="13"/>
      <c r="E56" s="13"/>
      <c r="F56" s="13"/>
      <c r="S56" s="1"/>
      <c r="V56" s="20"/>
      <c r="W56" s="20"/>
      <c r="Y56" s="20"/>
      <c r="Z56" s="20"/>
      <c r="AA56" s="20"/>
      <c r="AB56"/>
      <c r="AC56"/>
      <c r="AD56" s="20"/>
      <c r="AE56" s="20"/>
      <c r="AF56" s="20"/>
    </row>
    <row r="57" spans="1:32" ht="15" x14ac:dyDescent="0.25">
      <c r="S57" s="1"/>
      <c r="V57" s="20"/>
      <c r="W57" s="20"/>
      <c r="Y57" s="20"/>
      <c r="Z57" s="20"/>
      <c r="AA57" s="20"/>
      <c r="AB57"/>
      <c r="AC57"/>
      <c r="AD57" s="20"/>
      <c r="AE57" s="20"/>
      <c r="AF57" s="20"/>
    </row>
    <row r="58" spans="1:32" ht="15" x14ac:dyDescent="0.25">
      <c r="A58" s="10" t="s">
        <v>145</v>
      </c>
      <c r="B58" s="87" t="str">
        <f>Calculator!C18</f>
        <v>Queenstown</v>
      </c>
      <c r="S58" s="1"/>
      <c r="V58" s="20"/>
      <c r="W58" s="20"/>
      <c r="Y58" s="20"/>
      <c r="Z58" s="20"/>
      <c r="AA58" s="20"/>
      <c r="AB58"/>
      <c r="AC58"/>
      <c r="AD58" s="20"/>
      <c r="AE58" s="20"/>
      <c r="AF58" s="20"/>
    </row>
    <row r="59" spans="1:32" ht="15" x14ac:dyDescent="0.25">
      <c r="A59" s="10" t="s">
        <v>20</v>
      </c>
      <c r="B59" s="88">
        <f>Calculator!C20</f>
        <v>1156</v>
      </c>
      <c r="S59" s="1"/>
      <c r="V59" s="20"/>
      <c r="W59" s="20"/>
      <c r="Y59" s="20"/>
      <c r="Z59" s="20"/>
      <c r="AA59" s="20"/>
      <c r="AB59"/>
      <c r="AC59"/>
      <c r="AD59" s="20"/>
      <c r="AE59" s="20"/>
      <c r="AF59" s="20"/>
    </row>
    <row r="60" spans="1:32" ht="25.5" x14ac:dyDescent="0.25">
      <c r="B60" s="10"/>
      <c r="D60" s="72" t="str">
        <f>'Airways Aerodrome'!D78</f>
        <v>2021/22 Prices</v>
      </c>
      <c r="E60" s="72" t="str">
        <f>'Airways Aerodrome'!E78</f>
        <v>2022/23 Prices</v>
      </c>
      <c r="F60" s="72" t="str">
        <f>'Airways Aerodrome'!F78</f>
        <v>2023/24 Prices</v>
      </c>
      <c r="G60" s="72" t="str">
        <f>'Airways Aerodrome'!G78</f>
        <v>2024/25 Prices</v>
      </c>
      <c r="S60" s="1"/>
      <c r="V60" s="20"/>
      <c r="W60" s="20"/>
      <c r="Y60" s="20"/>
      <c r="Z60" s="20"/>
      <c r="AA60" s="20"/>
      <c r="AB60"/>
      <c r="AC60"/>
      <c r="AD60" s="20"/>
      <c r="AE60" s="20"/>
      <c r="AF60" s="20"/>
    </row>
    <row r="61" spans="1:32" ht="15" x14ac:dyDescent="0.25">
      <c r="A61" s="10" t="s">
        <v>126</v>
      </c>
      <c r="B61" s="10"/>
      <c r="D61" s="90" t="e">
        <f>VLOOKUP($B$58,$A$33:$M$46,2,FALSE)</f>
        <v>#N/A</v>
      </c>
      <c r="E61" s="90" t="e">
        <f>VLOOKUP($B$58,$A$33:$M$46,3,FALSE)</f>
        <v>#N/A</v>
      </c>
      <c r="F61" s="90" t="e">
        <f>VLOOKUP($B$58,$A$33:$M$46,4,FALSE)</f>
        <v>#N/A</v>
      </c>
      <c r="G61" s="90" t="e">
        <f>VLOOKUP($B$58,$A$33:$M$46,5,FALSE)</f>
        <v>#N/A</v>
      </c>
      <c r="S61" s="1"/>
      <c r="V61" s="20"/>
      <c r="W61" s="20"/>
      <c r="Y61" s="20"/>
      <c r="Z61" s="20"/>
      <c r="AA61" s="20"/>
      <c r="AB61"/>
      <c r="AC61"/>
      <c r="AD61" s="20"/>
      <c r="AE61" s="20"/>
      <c r="AF61" s="20"/>
    </row>
    <row r="62" spans="1:32" ht="15" x14ac:dyDescent="0.25">
      <c r="A62" s="10" t="s">
        <v>127</v>
      </c>
      <c r="B62" s="10"/>
      <c r="D62" s="90" t="e">
        <f>VLOOKUP($B$58,$A$33:$M$46,6,FALSE)</f>
        <v>#N/A</v>
      </c>
      <c r="E62" s="90" t="e">
        <f>VLOOKUP($B$58,$A$33:$M$46,7,FALSE)</f>
        <v>#N/A</v>
      </c>
      <c r="F62" s="90" t="e">
        <f>VLOOKUP($B$58,$A$33:$M$46,8,FALSE)</f>
        <v>#N/A</v>
      </c>
      <c r="G62" s="90" t="e">
        <f>VLOOKUP($B$58,$A$33:$M$46,9,FALSE)</f>
        <v>#N/A</v>
      </c>
      <c r="S62" s="1"/>
      <c r="V62" s="20"/>
      <c r="W62" s="20"/>
      <c r="Y62" s="20"/>
      <c r="Z62" s="20"/>
      <c r="AA62" s="20"/>
      <c r="AB62"/>
      <c r="AC62"/>
      <c r="AD62" s="20"/>
      <c r="AE62" s="20"/>
      <c r="AF62" s="20"/>
    </row>
    <row r="63" spans="1:32" ht="15" x14ac:dyDescent="0.25">
      <c r="A63" s="10" t="s">
        <v>146</v>
      </c>
      <c r="B63" s="10"/>
      <c r="D63" s="90" t="e">
        <f>VLOOKUP($B$58,$A$33:$M$46,10,FALSE)</f>
        <v>#N/A</v>
      </c>
      <c r="E63" s="90" t="e">
        <f>VLOOKUP($B$58,$A$33:$M$46,11,FALSE)</f>
        <v>#N/A</v>
      </c>
      <c r="F63" s="90" t="e">
        <f>VLOOKUP($B$58,$A$33:$M$46,12,FALSE)</f>
        <v>#N/A</v>
      </c>
      <c r="G63" s="90" t="e">
        <f>VLOOKUP($B$58,$A$33:$M$46,13,FALSE)</f>
        <v>#N/A</v>
      </c>
      <c r="S63" s="1"/>
      <c r="V63" s="20"/>
      <c r="W63" s="20"/>
      <c r="Y63" s="20"/>
      <c r="Z63" s="20"/>
      <c r="AA63" s="20"/>
      <c r="AB63"/>
      <c r="AC63"/>
      <c r="AD63" s="20"/>
      <c r="AE63" s="20"/>
      <c r="AF63" s="20"/>
    </row>
    <row r="64" spans="1:32" ht="15" x14ac:dyDescent="0.25">
      <c r="B64" s="10"/>
      <c r="S64" s="1"/>
      <c r="V64" s="20"/>
      <c r="W64" s="20"/>
      <c r="Y64" s="20"/>
      <c r="Z64" s="20"/>
      <c r="AA64" s="20"/>
      <c r="AB64"/>
      <c r="AC64"/>
      <c r="AD64" s="20"/>
      <c r="AE64" s="20"/>
      <c r="AF64" s="20"/>
    </row>
    <row r="65" spans="1:32" ht="15" x14ac:dyDescent="0.25">
      <c r="S65" s="1"/>
      <c r="V65" s="20"/>
      <c r="W65" s="20"/>
      <c r="Y65" s="20"/>
      <c r="Z65" s="20"/>
      <c r="AA65" s="20"/>
      <c r="AB65"/>
      <c r="AC65"/>
      <c r="AD65" s="20"/>
      <c r="AE65" s="20"/>
      <c r="AF65" s="20"/>
    </row>
    <row r="66" spans="1:32" ht="15" x14ac:dyDescent="0.25">
      <c r="S66" s="1"/>
      <c r="V66" s="20"/>
      <c r="W66" s="20"/>
      <c r="Y66" s="20"/>
      <c r="Z66" s="20"/>
      <c r="AA66" s="20"/>
      <c r="AB66"/>
      <c r="AC66"/>
      <c r="AD66" s="20"/>
      <c r="AE66" s="20"/>
      <c r="AF66" s="20"/>
    </row>
    <row r="67" spans="1:32" ht="15.75" x14ac:dyDescent="0.25">
      <c r="A67" s="12" t="s">
        <v>147</v>
      </c>
      <c r="B67" s="13"/>
      <c r="C67" s="13"/>
      <c r="D67" s="13"/>
      <c r="E67" s="13"/>
      <c r="F67" s="13"/>
      <c r="S67" s="1"/>
      <c r="V67" s="20"/>
      <c r="W67" s="20"/>
      <c r="Y67" s="20"/>
      <c r="Z67" s="20"/>
      <c r="AA67" s="20"/>
      <c r="AB67"/>
      <c r="AC67"/>
      <c r="AD67" s="20"/>
      <c r="AE67" s="20"/>
      <c r="AF67" s="20"/>
    </row>
    <row r="68" spans="1:32" ht="15" x14ac:dyDescent="0.25">
      <c r="S68" s="1"/>
      <c r="V68" s="20"/>
      <c r="W68" s="20"/>
      <c r="Y68" s="20"/>
      <c r="Z68" s="20"/>
      <c r="AA68" s="20"/>
      <c r="AB68"/>
      <c r="AC68"/>
      <c r="AD68" s="20"/>
      <c r="AE68" s="20"/>
      <c r="AF68" s="20"/>
    </row>
    <row r="69" spans="1:32" ht="25.5" x14ac:dyDescent="0.25">
      <c r="C69" s="72" t="s">
        <v>148</v>
      </c>
      <c r="D69" s="72" t="str">
        <f>D60</f>
        <v>2021/22 Prices</v>
      </c>
      <c r="E69" s="72" t="str">
        <f t="shared" ref="E69:G69" si="1">E60</f>
        <v>2022/23 Prices</v>
      </c>
      <c r="F69" s="72" t="str">
        <f t="shared" si="1"/>
        <v>2023/24 Prices</v>
      </c>
      <c r="G69" s="72" t="str">
        <f t="shared" si="1"/>
        <v>2024/25 Prices</v>
      </c>
      <c r="S69" s="1"/>
      <c r="V69" s="20"/>
      <c r="W69" s="20"/>
      <c r="Y69" s="20"/>
      <c r="Z69" s="20"/>
      <c r="AA69" s="20"/>
      <c r="AB69"/>
      <c r="AC69"/>
      <c r="AD69" s="20"/>
      <c r="AE69" s="20"/>
      <c r="AF69" s="20"/>
    </row>
    <row r="70" spans="1:32" ht="15" x14ac:dyDescent="0.25">
      <c r="A70" s="86" t="s">
        <v>138</v>
      </c>
      <c r="B70" s="22" t="s">
        <v>149</v>
      </c>
      <c r="C70" s="221" t="s">
        <v>150</v>
      </c>
      <c r="D70" s="91" t="e">
        <f>($B$59/5000)*D62</f>
        <v>#N/A</v>
      </c>
      <c r="E70" s="91" t="e">
        <f t="shared" ref="E70:G70" si="2">($B$59/5000)*E62</f>
        <v>#N/A</v>
      </c>
      <c r="F70" s="91" t="e">
        <f t="shared" si="2"/>
        <v>#N/A</v>
      </c>
      <c r="G70" s="91" t="e">
        <f t="shared" si="2"/>
        <v>#N/A</v>
      </c>
      <c r="S70" s="1"/>
      <c r="V70" s="20"/>
      <c r="W70" s="20"/>
      <c r="Y70" s="20"/>
      <c r="Z70" s="20"/>
      <c r="AA70" s="20"/>
      <c r="AB70"/>
      <c r="AC70"/>
      <c r="AD70" s="20"/>
      <c r="AE70" s="20"/>
      <c r="AF70" s="20"/>
    </row>
    <row r="71" spans="1:32" ht="15" x14ac:dyDescent="0.25">
      <c r="A71" s="86" t="s">
        <v>140</v>
      </c>
      <c r="B71" s="22" t="s">
        <v>151</v>
      </c>
      <c r="C71" s="222"/>
      <c r="D71" s="91" t="e">
        <f>((($B$59/1000)-5)*D63)+D62</f>
        <v>#N/A</v>
      </c>
      <c r="E71" s="91" t="e">
        <f t="shared" ref="E71:F71" si="3">((($B$59/1000)-5)*E63)+E62</f>
        <v>#N/A</v>
      </c>
      <c r="F71" s="91" t="e">
        <f t="shared" si="3"/>
        <v>#N/A</v>
      </c>
      <c r="G71" s="91" t="e">
        <f>((($B$59/1000)-5)*G63)+G62</f>
        <v>#N/A</v>
      </c>
      <c r="S71" s="1"/>
      <c r="V71" s="20"/>
      <c r="W71" s="20"/>
      <c r="Y71" s="20"/>
      <c r="Z71" s="20"/>
      <c r="AA71" s="20"/>
      <c r="AB71"/>
      <c r="AC71"/>
      <c r="AD71" s="20"/>
      <c r="AE71" s="20"/>
      <c r="AF71" s="20"/>
    </row>
    <row r="72" spans="1:32" ht="15" x14ac:dyDescent="0.25">
      <c r="A72" s="86" t="s">
        <v>142</v>
      </c>
      <c r="B72" s="22" t="s">
        <v>152</v>
      </c>
      <c r="C72" s="223"/>
      <c r="D72" s="91" t="e">
        <f>(D63*(5*(SQRT(($B$59/1000)-5))))+D62</f>
        <v>#N/A</v>
      </c>
      <c r="E72" s="91" t="e">
        <f t="shared" ref="E72:G72" si="4">(E63*(5*(SQRT(($B$59/1000)-5))))+E62</f>
        <v>#N/A</v>
      </c>
      <c r="F72" s="91" t="e">
        <f t="shared" si="4"/>
        <v>#N/A</v>
      </c>
      <c r="G72" s="91" t="e">
        <f t="shared" si="4"/>
        <v>#N/A</v>
      </c>
      <c r="S72" s="1"/>
      <c r="V72" s="20"/>
      <c r="W72" s="20"/>
      <c r="Y72" s="20"/>
      <c r="Z72" s="20"/>
      <c r="AA72" s="20"/>
      <c r="AB72"/>
      <c r="AC72"/>
      <c r="AD72" s="20"/>
      <c r="AE72" s="20"/>
      <c r="AF72" s="20"/>
    </row>
    <row r="73" spans="1:32" ht="15" x14ac:dyDescent="0.25">
      <c r="S73" s="1"/>
      <c r="V73" s="20"/>
      <c r="W73" s="20"/>
      <c r="Y73" s="20"/>
      <c r="Z73" s="20"/>
      <c r="AA73" s="20"/>
      <c r="AB73"/>
      <c r="AC73"/>
      <c r="AD73" s="20"/>
      <c r="AE73" s="20"/>
      <c r="AF73" s="20"/>
    </row>
    <row r="74" spans="1:32" ht="15" x14ac:dyDescent="0.25">
      <c r="A74" s="10" t="s">
        <v>153</v>
      </c>
      <c r="B74" s="22" t="str">
        <f>IF(B59&gt;30000,"C",IF(B59&lt;5000,"A","B"))</f>
        <v>A</v>
      </c>
      <c r="C74" s="89" t="e">
        <f>ROUND((HLOOKUP(B58,$S$16:$AG$18,3,FALSE)),2)</f>
        <v>#N/A</v>
      </c>
      <c r="D74" s="89" t="e">
        <f>ROUND((VLOOKUP($B$74,$B$70:$G$72,3,FALSE)),2)</f>
        <v>#N/A</v>
      </c>
      <c r="E74" s="89" t="e">
        <f>ROUND((VLOOKUP($B$74,$B$70:$G$72,4,FALSE)),2)</f>
        <v>#N/A</v>
      </c>
      <c r="F74" s="89" t="e">
        <f>ROUND((VLOOKUP($B$74,$B$70:$G$72,5,FALSE)),2)</f>
        <v>#N/A</v>
      </c>
      <c r="G74" s="89" t="e">
        <f>ROUND((VLOOKUP($B$74,$B$70:$G$72,6,FALSE)),2)</f>
        <v>#N/A</v>
      </c>
      <c r="S74" s="1"/>
      <c r="V74" s="20"/>
      <c r="W74" s="20"/>
      <c r="Y74" s="20"/>
      <c r="Z74" s="20"/>
      <c r="AA74" s="20"/>
      <c r="AB74"/>
      <c r="AC74"/>
      <c r="AD74" s="20"/>
      <c r="AE74" s="20"/>
      <c r="AF74" s="20"/>
    </row>
    <row r="75" spans="1:32" ht="15" x14ac:dyDescent="0.25">
      <c r="S75" s="1"/>
      <c r="V75" s="20"/>
      <c r="W75" s="20"/>
      <c r="Y75" s="20"/>
      <c r="Z75" s="20"/>
      <c r="AA75" s="20"/>
      <c r="AB75"/>
      <c r="AC75"/>
      <c r="AD75" s="20"/>
      <c r="AE75" s="20"/>
      <c r="AF75" s="20"/>
    </row>
    <row r="76" spans="1:32" ht="15" x14ac:dyDescent="0.25">
      <c r="A76" s="92" t="s">
        <v>154</v>
      </c>
      <c r="B76" s="93"/>
      <c r="C76" s="94" t="e">
        <f>C74</f>
        <v>#N/A</v>
      </c>
      <c r="D76" s="94" t="e">
        <f>MAX(D61,D74)</f>
        <v>#N/A</v>
      </c>
      <c r="E76" s="94" t="e">
        <f t="shared" ref="E76:G76" si="5">MAX(E61,E74)</f>
        <v>#N/A</v>
      </c>
      <c r="F76" s="94" t="e">
        <f t="shared" si="5"/>
        <v>#N/A</v>
      </c>
      <c r="G76" s="94" t="e">
        <f t="shared" si="5"/>
        <v>#N/A</v>
      </c>
      <c r="S76" s="1"/>
      <c r="V76" s="20"/>
      <c r="W76" s="20"/>
      <c r="Y76" s="20"/>
      <c r="Z76" s="20"/>
      <c r="AA76" s="20"/>
      <c r="AB76"/>
      <c r="AC76"/>
      <c r="AD76" s="20"/>
      <c r="AE76" s="20"/>
      <c r="AF76" s="20"/>
    </row>
    <row r="77" spans="1:32" ht="15" x14ac:dyDescent="0.25">
      <c r="S77" s="1"/>
      <c r="V77" s="20"/>
      <c r="W77" s="20"/>
      <c r="Y77" s="20"/>
      <c r="Z77" s="20"/>
      <c r="AA77" s="20"/>
      <c r="AB77"/>
      <c r="AC77"/>
      <c r="AD77" s="20"/>
      <c r="AE77" s="20"/>
      <c r="AF77" s="20"/>
    </row>
    <row r="78" spans="1:32" ht="15" x14ac:dyDescent="0.25">
      <c r="S78" s="1"/>
      <c r="V78" s="20"/>
      <c r="W78" s="20"/>
      <c r="Y78" s="20"/>
      <c r="Z78" s="20"/>
      <c r="AA78" s="20"/>
      <c r="AB78"/>
      <c r="AC78"/>
      <c r="AD78" s="20"/>
      <c r="AE78" s="20"/>
      <c r="AF78" s="20"/>
    </row>
    <row r="79" spans="1:32" ht="15" x14ac:dyDescent="0.25">
      <c r="S79" s="1"/>
      <c r="V79" s="20"/>
      <c r="W79" s="20"/>
      <c r="Y79" s="20"/>
      <c r="Z79" s="20"/>
      <c r="AA79" s="20"/>
      <c r="AB79"/>
      <c r="AC79"/>
      <c r="AD79" s="20"/>
      <c r="AE79" s="20"/>
      <c r="AF79" s="20"/>
    </row>
    <row r="80" spans="1:32" ht="15" x14ac:dyDescent="0.25">
      <c r="S80" s="1"/>
      <c r="V80" s="20"/>
      <c r="W80" s="20"/>
      <c r="Y80" s="20"/>
      <c r="Z80" s="20"/>
      <c r="AA80" s="20"/>
      <c r="AB80"/>
      <c r="AC80"/>
      <c r="AD80" s="20"/>
      <c r="AE80" s="20"/>
      <c r="AF80" s="20"/>
    </row>
    <row r="81" spans="19:32" ht="15" x14ac:dyDescent="0.25">
      <c r="S81" s="1"/>
      <c r="V81" s="20"/>
      <c r="W81" s="20"/>
      <c r="Y81" s="20"/>
      <c r="Z81" s="20"/>
      <c r="AA81" s="20"/>
      <c r="AB81"/>
      <c r="AC81"/>
      <c r="AD81" s="20"/>
      <c r="AE81" s="20"/>
      <c r="AF81" s="20"/>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AG228"/>
  <sheetViews>
    <sheetView topLeftCell="A16" zoomScale="80" zoomScaleNormal="80" workbookViewId="0">
      <selection activeCell="B49" sqref="B49:K49"/>
    </sheetView>
  </sheetViews>
  <sheetFormatPr defaultColWidth="9.140625" defaultRowHeight="12.75" x14ac:dyDescent="0.2"/>
  <cols>
    <col min="1" max="1" width="29.7109375" style="10"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2" t="s">
        <v>91</v>
      </c>
      <c r="B2" s="13"/>
      <c r="C2" s="13"/>
      <c r="D2" s="13"/>
      <c r="E2" s="13"/>
      <c r="F2" s="13"/>
      <c r="R2" s="19"/>
      <c r="S2" s="1"/>
      <c r="T2" s="1"/>
      <c r="U2" s="1"/>
      <c r="V2" s="1"/>
      <c r="W2" s="1"/>
      <c r="X2" s="1"/>
      <c r="Y2" s="1"/>
      <c r="Z2" s="1"/>
      <c r="AA2" s="1"/>
      <c r="AB2" s="1"/>
      <c r="AC2" s="1"/>
      <c r="AD2" s="1"/>
      <c r="AE2" s="1"/>
    </row>
    <row r="3" spans="1:31" x14ac:dyDescent="0.2">
      <c r="A3" s="1"/>
      <c r="R3" s="19"/>
      <c r="S3" s="1"/>
      <c r="T3" s="1"/>
      <c r="U3" s="1"/>
      <c r="V3" s="1"/>
      <c r="W3" s="1"/>
      <c r="X3" s="1"/>
      <c r="Y3" s="1"/>
      <c r="Z3" s="1"/>
      <c r="AA3" s="1"/>
      <c r="AB3" s="1"/>
      <c r="AC3" s="1"/>
      <c r="AD3" s="1"/>
      <c r="AE3" s="1"/>
    </row>
    <row r="4" spans="1:31" x14ac:dyDescent="0.2">
      <c r="A4" s="1"/>
      <c r="R4" s="19"/>
      <c r="S4" s="1"/>
      <c r="T4" s="1"/>
      <c r="U4" s="1"/>
      <c r="V4" s="1"/>
      <c r="W4" s="1"/>
      <c r="X4" s="1"/>
      <c r="Y4" s="1"/>
      <c r="Z4" s="1"/>
      <c r="AA4" s="1"/>
      <c r="AB4" s="1"/>
      <c r="AC4" s="1"/>
      <c r="AD4" s="1"/>
      <c r="AE4" s="1"/>
    </row>
    <row r="5" spans="1:31" ht="63.75" x14ac:dyDescent="0.2">
      <c r="A5" s="2" t="s">
        <v>175</v>
      </c>
      <c r="B5" s="3" t="s">
        <v>93</v>
      </c>
      <c r="C5" s="4" t="s">
        <v>94</v>
      </c>
      <c r="D5" s="4" t="s">
        <v>95</v>
      </c>
      <c r="E5" s="4" t="s">
        <v>96</v>
      </c>
      <c r="F5" s="4" t="s">
        <v>97</v>
      </c>
      <c r="G5" s="4" t="s">
        <v>98</v>
      </c>
      <c r="H5" s="4" t="s">
        <v>99</v>
      </c>
      <c r="J5" s="5" t="s">
        <v>176</v>
      </c>
      <c r="K5" s="4" t="s">
        <v>96</v>
      </c>
      <c r="L5" s="4" t="s">
        <v>97</v>
      </c>
      <c r="M5" s="4" t="s">
        <v>98</v>
      </c>
      <c r="N5" s="4" t="s">
        <v>99</v>
      </c>
      <c r="R5" s="6"/>
    </row>
    <row r="6" spans="1:31" ht="25.5" x14ac:dyDescent="0.2">
      <c r="A6" s="17" t="s">
        <v>177</v>
      </c>
      <c r="B6" s="14"/>
      <c r="C6" s="14">
        <f>0.02642*$B$10</f>
        <v>2.19286</v>
      </c>
      <c r="D6" s="14">
        <f>0.02642*$B$10</f>
        <v>2.19286</v>
      </c>
      <c r="E6" s="14">
        <f>0.13253*$B$10</f>
        <v>10.99999</v>
      </c>
      <c r="F6" s="14">
        <f>0.13248*$B$10</f>
        <v>10.995839999999999</v>
      </c>
      <c r="G6" s="14">
        <f>0.13248*$B$10</f>
        <v>10.995839999999999</v>
      </c>
      <c r="H6" s="14">
        <f>0.13248*$B$10</f>
        <v>10.995839999999999</v>
      </c>
      <c r="J6" s="17" t="s">
        <v>177</v>
      </c>
      <c r="K6" s="15">
        <v>2.6199999999999999E-3</v>
      </c>
      <c r="L6" s="15">
        <v>2.6199999999999999E-3</v>
      </c>
      <c r="M6" s="15">
        <v>2.6199999999999999E-3</v>
      </c>
      <c r="N6" s="15">
        <v>0.43990000000000001</v>
      </c>
      <c r="R6" s="6"/>
    </row>
    <row r="7" spans="1:31" ht="25.5" x14ac:dyDescent="0.2">
      <c r="A7" s="17" t="s">
        <v>178</v>
      </c>
      <c r="B7" s="14"/>
      <c r="C7" s="14">
        <f>0.06196*$C$10</f>
        <v>0</v>
      </c>
      <c r="D7" s="14">
        <f>0.06196*$C$10</f>
        <v>0</v>
      </c>
      <c r="E7" s="14">
        <f>0.15828*$C$10</f>
        <v>0</v>
      </c>
      <c r="F7" s="14">
        <f>0.15828*$C$10</f>
        <v>0</v>
      </c>
      <c r="G7" s="14">
        <f>0.15828*$C$10</f>
        <v>0</v>
      </c>
      <c r="H7" s="14">
        <f>0.15828*$C$10</f>
        <v>0</v>
      </c>
      <c r="J7" s="17" t="s">
        <v>178</v>
      </c>
      <c r="K7" s="15">
        <v>4.6999999999999999E-4</v>
      </c>
      <c r="L7" s="15">
        <v>4.6999999999999999E-4</v>
      </c>
      <c r="M7" s="15">
        <v>4.6999999999999999E-4</v>
      </c>
      <c r="N7" s="15">
        <v>7.5800000000000006E-2</v>
      </c>
      <c r="R7" s="6"/>
    </row>
    <row r="8" spans="1:31" x14ac:dyDescent="0.2">
      <c r="A8" s="1"/>
      <c r="R8" s="6"/>
    </row>
    <row r="9" spans="1:31" ht="25.5" x14ac:dyDescent="0.2">
      <c r="A9" s="1"/>
      <c r="B9" s="17" t="s">
        <v>177</v>
      </c>
      <c r="C9" s="17" t="s">
        <v>178</v>
      </c>
      <c r="R9" s="6"/>
    </row>
    <row r="10" spans="1:31" x14ac:dyDescent="0.2">
      <c r="A10" s="1" t="s">
        <v>179</v>
      </c>
      <c r="B10" s="34">
        <f>Calculator!$C$22</f>
        <v>83</v>
      </c>
      <c r="C10" s="34">
        <f>Calculator!$C$23</f>
        <v>0</v>
      </c>
      <c r="R10" s="6"/>
    </row>
    <row r="11" spans="1:31" x14ac:dyDescent="0.2">
      <c r="A11" s="1"/>
      <c r="R11" s="6"/>
    </row>
    <row r="12" spans="1:31" s="9" customFormat="1" x14ac:dyDescent="0.2">
      <c r="B12" s="9" t="s">
        <v>180</v>
      </c>
      <c r="S12" s="20"/>
      <c r="T12" s="20"/>
      <c r="U12" s="20"/>
      <c r="V12" s="20"/>
      <c r="W12" s="20"/>
      <c r="X12" s="20"/>
      <c r="Y12" s="20"/>
      <c r="Z12" s="20"/>
      <c r="AA12" s="20"/>
      <c r="AB12" s="20"/>
      <c r="AC12" s="20"/>
      <c r="AD12" s="20"/>
      <c r="AE12" s="20"/>
    </row>
    <row r="13" spans="1:31" s="9" customFormat="1" x14ac:dyDescent="0.2">
      <c r="A13" s="16"/>
      <c r="S13" s="20"/>
      <c r="T13" s="20"/>
      <c r="U13" s="20"/>
      <c r="V13" s="20"/>
      <c r="W13" s="20"/>
      <c r="X13" s="20"/>
      <c r="Y13" s="20"/>
      <c r="Z13" s="20"/>
      <c r="AA13" s="20"/>
      <c r="AB13" s="20"/>
      <c r="AC13" s="20"/>
      <c r="AD13" s="20"/>
      <c r="AE13" s="20"/>
    </row>
    <row r="14" spans="1:31" ht="25.5" x14ac:dyDescent="0.2">
      <c r="A14" s="1"/>
      <c r="B14" s="17" t="s">
        <v>177</v>
      </c>
      <c r="C14" s="17" t="s">
        <v>178</v>
      </c>
    </row>
    <row r="15" spans="1:31" x14ac:dyDescent="0.2">
      <c r="B15" s="16"/>
      <c r="C15" s="16"/>
      <c r="Q15" s="20"/>
      <c r="R15" s="20"/>
      <c r="AD15" s="1"/>
      <c r="AE15" s="1"/>
    </row>
    <row r="16" spans="1:31" x14ac:dyDescent="0.2">
      <c r="A16" s="1"/>
      <c r="Q16" s="20"/>
      <c r="R16" s="20"/>
      <c r="T16" s="1"/>
      <c r="U16" s="1"/>
      <c r="V16" s="1"/>
      <c r="W16" s="1"/>
      <c r="X16" s="1"/>
      <c r="Y16" s="1"/>
      <c r="Z16" s="1"/>
      <c r="AA16" s="1"/>
      <c r="AB16" s="1"/>
      <c r="AC16" s="1"/>
      <c r="AD16" s="1"/>
      <c r="AE16" s="1"/>
    </row>
    <row r="17" spans="1:33" ht="15.75" x14ac:dyDescent="0.25">
      <c r="A17" s="12" t="s">
        <v>118</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119</v>
      </c>
      <c r="D18" s="225"/>
      <c r="E18" s="8"/>
      <c r="F18" s="8"/>
      <c r="S18" s="1"/>
      <c r="T18" s="1"/>
      <c r="U18" s="1"/>
      <c r="V18" s="1"/>
      <c r="W18" s="1"/>
      <c r="X18" s="1"/>
      <c r="Y18" s="1"/>
      <c r="Z18" s="1"/>
      <c r="AA18" s="1"/>
      <c r="AB18" s="1"/>
      <c r="AC18" s="1"/>
      <c r="AD18" s="1"/>
      <c r="AE18" s="1"/>
    </row>
    <row r="19" spans="1:33" ht="48.75" customHeight="1" x14ac:dyDescent="0.2">
      <c r="A19" s="1"/>
      <c r="B19" s="11">
        <v>1</v>
      </c>
      <c r="C19" s="20">
        <v>2</v>
      </c>
      <c r="D19" s="20"/>
      <c r="E19" s="8"/>
      <c r="F19" s="8"/>
      <c r="R19" s="20"/>
      <c r="S19" s="21"/>
      <c r="T19" s="1"/>
      <c r="U19" s="1"/>
      <c r="V19" s="1"/>
      <c r="W19" s="1"/>
      <c r="X19" s="1"/>
      <c r="Y19" s="1"/>
      <c r="Z19" s="1"/>
      <c r="AA19" s="1"/>
      <c r="AB19" s="1"/>
      <c r="AC19" s="1"/>
      <c r="AD19" s="1"/>
      <c r="AE19" s="1"/>
    </row>
    <row r="20" spans="1:33" s="6" customFormat="1" ht="54.75" customHeight="1" x14ac:dyDescent="0.2">
      <c r="B20" s="17"/>
      <c r="C20" s="17" t="s">
        <v>177</v>
      </c>
      <c r="D20" s="17" t="s">
        <v>181</v>
      </c>
      <c r="E20" s="8"/>
      <c r="F20" s="8"/>
      <c r="G20" s="1"/>
      <c r="H20" s="1"/>
      <c r="I20" s="1"/>
      <c r="J20" s="1"/>
      <c r="K20" s="1"/>
      <c r="L20" s="1"/>
      <c r="M20" s="1"/>
      <c r="N20" s="1"/>
      <c r="O20" s="1"/>
      <c r="P20" s="1"/>
      <c r="Q20" s="1"/>
      <c r="R20" s="20"/>
    </row>
    <row r="21" spans="1:33" ht="14.25" customHeight="1" x14ac:dyDescent="0.2">
      <c r="A21" s="32">
        <f>Calculator!$C$20</f>
        <v>1156</v>
      </c>
      <c r="B21" s="9">
        <f>A21</f>
        <v>1156</v>
      </c>
      <c r="C21" s="8">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2.19286</v>
      </c>
      <c r="D21" s="8">
        <f>IF($B$10=0,0,IF(A21&gt;=8000,MAX(10,C21),C21))</f>
        <v>2.19286</v>
      </c>
      <c r="E21" s="8"/>
      <c r="F21" s="8"/>
      <c r="R21" s="20"/>
      <c r="S21" s="1"/>
      <c r="T21" s="1"/>
      <c r="U21" s="1"/>
      <c r="V21" s="1"/>
      <c r="W21" s="1"/>
      <c r="X21" s="1"/>
      <c r="Y21" s="1"/>
      <c r="Z21" s="1"/>
      <c r="AA21" s="1"/>
      <c r="AB21" s="1"/>
      <c r="AC21" s="1"/>
      <c r="AD21" s="1"/>
      <c r="AE21" s="1"/>
    </row>
    <row r="22" spans="1:33" x14ac:dyDescent="0.2">
      <c r="A22" s="26"/>
      <c r="C22" s="8"/>
      <c r="D22" s="8"/>
      <c r="E22" s="8"/>
      <c r="F22" s="8"/>
      <c r="R22" s="20"/>
      <c r="AE22" s="1"/>
    </row>
    <row r="23" spans="1:33" x14ac:dyDescent="0.2">
      <c r="A23" s="26"/>
      <c r="C23" s="8"/>
      <c r="D23" s="8"/>
      <c r="E23" s="8"/>
      <c r="F23" s="8"/>
      <c r="R23" s="20"/>
      <c r="AE23" s="1"/>
    </row>
    <row r="24" spans="1:33" x14ac:dyDescent="0.2">
      <c r="A24" s="26"/>
      <c r="C24" s="8"/>
      <c r="D24" s="8"/>
      <c r="E24" s="8"/>
      <c r="F24" s="8"/>
      <c r="R24" s="20"/>
      <c r="AE24" s="1"/>
    </row>
    <row r="25" spans="1:33" ht="15.75" x14ac:dyDescent="0.25">
      <c r="A25" s="12" t="s">
        <v>123</v>
      </c>
      <c r="B25" s="13"/>
      <c r="C25" s="13"/>
      <c r="D25" s="13"/>
      <c r="E25" s="13"/>
      <c r="F25" s="13"/>
      <c r="R25" s="20"/>
      <c r="AE25" s="1"/>
    </row>
    <row r="26" spans="1:33" x14ac:dyDescent="0.2">
      <c r="A26" s="26"/>
      <c r="C26" s="8"/>
      <c r="D26" s="8"/>
      <c r="E26" s="8"/>
      <c r="F26" s="8"/>
      <c r="R26" s="20"/>
      <c r="AE26" s="1"/>
    </row>
    <row r="27" spans="1:33" x14ac:dyDescent="0.2">
      <c r="A27" s="26"/>
      <c r="C27" s="8"/>
      <c r="D27" s="8"/>
      <c r="E27" s="8"/>
      <c r="F27" s="8"/>
      <c r="R27" s="20"/>
      <c r="AE27" s="1"/>
    </row>
    <row r="28" spans="1:33" ht="15" x14ac:dyDescent="0.2">
      <c r="A28" s="224" t="s">
        <v>182</v>
      </c>
      <c r="B28" s="224"/>
      <c r="C28" s="224"/>
      <c r="D28" s="224"/>
      <c r="E28" s="224"/>
      <c r="F28" s="224"/>
      <c r="G28" s="224"/>
      <c r="H28" s="224"/>
      <c r="I28" s="224"/>
      <c r="J28" s="224"/>
      <c r="R28" s="20"/>
      <c r="AE28" s="1"/>
    </row>
    <row r="29" spans="1:33" ht="15" customHeight="1" thickBot="1" x14ac:dyDescent="0.3">
      <c r="A29"/>
      <c r="B29" s="249" t="s">
        <v>126</v>
      </c>
      <c r="C29" s="227"/>
      <c r="D29" s="227"/>
      <c r="E29" s="228"/>
      <c r="F29" s="226" t="s">
        <v>127</v>
      </c>
      <c r="G29" s="227"/>
      <c r="H29" s="227"/>
      <c r="I29" s="228"/>
      <c r="J29" s="226" t="s">
        <v>128</v>
      </c>
      <c r="K29" s="227"/>
      <c r="L29" s="227"/>
      <c r="M29" s="227"/>
      <c r="R29" s="20"/>
      <c r="AE29" s="1"/>
    </row>
    <row r="30" spans="1:33" ht="26.25" thickBot="1" x14ac:dyDescent="0.3">
      <c r="A30"/>
      <c r="B30" s="96" t="str">
        <f>'Airways Aerodrome'!B42</f>
        <v>2021/22 Prices</v>
      </c>
      <c r="C30" s="73" t="str">
        <f>'Airways Aerodrome'!C42</f>
        <v>2022/23 Prices</v>
      </c>
      <c r="D30" s="73" t="str">
        <f>'Airways Aerodrome'!D42</f>
        <v>2023/24 Prices</v>
      </c>
      <c r="E30" s="74" t="str">
        <f>'Airways Aerodrome'!E42</f>
        <v>2024/25 Prices</v>
      </c>
      <c r="F30" s="96" t="str">
        <f>'Airways Aerodrome'!F42</f>
        <v>2021/22 Prices</v>
      </c>
      <c r="G30" s="96" t="str">
        <f>'Airways Aerodrome'!G42</f>
        <v>2022/23 Prices</v>
      </c>
      <c r="H30" s="96" t="str">
        <f>'Airways Aerodrome'!H42</f>
        <v>2023/24 Prices</v>
      </c>
      <c r="I30" s="96" t="str">
        <f>'Airways Aerodrome'!I42</f>
        <v>2024/25 Prices</v>
      </c>
      <c r="J30" s="96" t="str">
        <f>'Airways Aerodrome'!J42</f>
        <v>2021/22 Prices</v>
      </c>
      <c r="K30" s="96" t="str">
        <f>'Airways Aerodrome'!K42</f>
        <v>2022/23 Prices</v>
      </c>
      <c r="L30" s="96" t="str">
        <f>'Airways Aerodrome'!L42</f>
        <v>2023/24 Prices</v>
      </c>
      <c r="M30" s="96" t="str">
        <f>'Airways Aerodrome'!M42</f>
        <v>2024/25 Prices</v>
      </c>
      <c r="S30" s="1"/>
      <c r="AF30" s="20"/>
    </row>
    <row r="31" spans="1:33" ht="13.5" thickBot="1" x14ac:dyDescent="0.25">
      <c r="A31" s="70" t="s">
        <v>183</v>
      </c>
      <c r="B31" s="101">
        <v>6.94</v>
      </c>
      <c r="C31" s="201">
        <v>7.25</v>
      </c>
      <c r="D31" s="201">
        <v>7.42</v>
      </c>
      <c r="E31" s="202">
        <v>7.55</v>
      </c>
      <c r="F31" s="101">
        <v>6.9</v>
      </c>
      <c r="G31" s="201">
        <v>7.2</v>
      </c>
      <c r="H31" s="201">
        <v>7.37</v>
      </c>
      <c r="I31" s="202">
        <v>7.5</v>
      </c>
      <c r="J31" s="101">
        <v>3.1</v>
      </c>
      <c r="K31" s="100">
        <v>3.37</v>
      </c>
      <c r="L31" s="100">
        <v>3.55</v>
      </c>
      <c r="M31" s="174">
        <v>3.41</v>
      </c>
      <c r="S31" s="1"/>
      <c r="T31" s="1"/>
      <c r="AF31" s="20"/>
      <c r="AG31" s="20"/>
    </row>
    <row r="32" spans="1:33" ht="13.5" thickBot="1" x14ac:dyDescent="0.25">
      <c r="A32" s="71" t="s">
        <v>184</v>
      </c>
      <c r="B32" s="99">
        <v>20.83</v>
      </c>
      <c r="C32" s="203">
        <v>21.75</v>
      </c>
      <c r="D32" s="203">
        <v>22.27</v>
      </c>
      <c r="E32" s="204">
        <v>22.65</v>
      </c>
      <c r="F32" s="99">
        <v>6.9</v>
      </c>
      <c r="G32" s="203">
        <v>7.2</v>
      </c>
      <c r="H32" s="203">
        <v>7.37</v>
      </c>
      <c r="I32" s="204">
        <v>7.5</v>
      </c>
      <c r="J32" s="99">
        <v>0.75</v>
      </c>
      <c r="K32" s="97">
        <v>0.81</v>
      </c>
      <c r="L32" s="97">
        <v>1.03</v>
      </c>
      <c r="M32" s="98">
        <v>0.94</v>
      </c>
      <c r="S32" s="1"/>
      <c r="T32" s="1"/>
      <c r="AF32" s="20"/>
      <c r="AG32" s="20"/>
    </row>
    <row r="33" spans="1:33" ht="15" x14ac:dyDescent="0.25">
      <c r="A33"/>
      <c r="B33"/>
      <c r="C33"/>
      <c r="D33"/>
      <c r="E33"/>
      <c r="F33"/>
      <c r="G33"/>
      <c r="H33"/>
      <c r="I33"/>
      <c r="J33"/>
      <c r="K33"/>
      <c r="L33"/>
      <c r="S33" s="1"/>
      <c r="AF33" s="20"/>
    </row>
    <row r="34" spans="1:33" ht="15" x14ac:dyDescent="0.25">
      <c r="A34"/>
      <c r="B34"/>
      <c r="C34"/>
      <c r="D34"/>
      <c r="E34"/>
      <c r="F34"/>
      <c r="G34"/>
      <c r="H34"/>
      <c r="I34"/>
      <c r="J34"/>
      <c r="K34"/>
      <c r="L34"/>
      <c r="M34"/>
      <c r="S34" s="1"/>
      <c r="T34" s="1"/>
      <c r="AF34" s="20"/>
      <c r="AG34" s="20"/>
    </row>
    <row r="35" spans="1:33" ht="15.75" x14ac:dyDescent="0.25">
      <c r="A35" s="12" t="s">
        <v>136</v>
      </c>
      <c r="B35" s="13"/>
      <c r="C35" s="13"/>
      <c r="D35" s="13"/>
      <c r="E35" s="13"/>
      <c r="F35" s="13"/>
      <c r="G35"/>
      <c r="H35"/>
      <c r="I35"/>
      <c r="J35"/>
      <c r="K35"/>
    </row>
    <row r="36" spans="1:33" ht="15" x14ac:dyDescent="0.25">
      <c r="A36"/>
      <c r="B36"/>
      <c r="C36"/>
      <c r="D36"/>
      <c r="E36"/>
      <c r="F36"/>
      <c r="G36"/>
      <c r="H36"/>
      <c r="I36"/>
      <c r="J36"/>
      <c r="R36" s="20"/>
      <c r="AE36" s="1"/>
    </row>
    <row r="37" spans="1:33" ht="15" x14ac:dyDescent="0.25">
      <c r="A37" s="10" t="s">
        <v>137</v>
      </c>
      <c r="B37" s="35"/>
      <c r="H37"/>
      <c r="I37" s="170"/>
      <c r="J37" s="170"/>
      <c r="R37" s="20"/>
      <c r="AE37" s="1"/>
    </row>
    <row r="38" spans="1:33" ht="15" x14ac:dyDescent="0.25">
      <c r="B38" s="35"/>
      <c r="H38"/>
      <c r="I38"/>
      <c r="J38"/>
      <c r="R38" s="20"/>
      <c r="AE38" s="1"/>
    </row>
    <row r="39" spans="1:33" x14ac:dyDescent="0.2">
      <c r="A39" s="86" t="s">
        <v>138</v>
      </c>
      <c r="B39" s="220" t="s">
        <v>185</v>
      </c>
      <c r="C39" s="220"/>
      <c r="D39" s="220"/>
      <c r="E39" s="220"/>
      <c r="F39" s="220"/>
      <c r="R39" s="20"/>
      <c r="AE39" s="1"/>
    </row>
    <row r="40" spans="1:33" x14ac:dyDescent="0.2">
      <c r="A40" s="86" t="s">
        <v>140</v>
      </c>
      <c r="B40" s="220" t="s">
        <v>186</v>
      </c>
      <c r="C40" s="220"/>
      <c r="D40" s="220"/>
      <c r="E40" s="220"/>
      <c r="F40" s="220"/>
      <c r="R40" s="20"/>
      <c r="AE40" s="1"/>
    </row>
    <row r="41" spans="1:33" ht="12.75" customHeight="1" x14ac:dyDescent="0.2">
      <c r="A41" s="86" t="s">
        <v>142</v>
      </c>
      <c r="B41" s="220" t="s">
        <v>187</v>
      </c>
      <c r="C41" s="220"/>
      <c r="D41" s="220"/>
      <c r="E41" s="220"/>
      <c r="F41" s="220"/>
      <c r="G41" s="220"/>
      <c r="R41" s="20"/>
      <c r="AE41" s="1"/>
    </row>
    <row r="42" spans="1:33" x14ac:dyDescent="0.2">
      <c r="B42" s="220"/>
      <c r="C42" s="220"/>
      <c r="D42" s="220"/>
      <c r="E42" s="220"/>
      <c r="F42" s="220"/>
      <c r="R42" s="20"/>
      <c r="AE42" s="1"/>
    </row>
    <row r="43" spans="1:33" ht="15.75" x14ac:dyDescent="0.25">
      <c r="A43" s="12" t="s">
        <v>144</v>
      </c>
      <c r="B43" s="13"/>
      <c r="C43" s="13"/>
      <c r="D43" s="13"/>
      <c r="E43" s="13"/>
      <c r="F43" s="13"/>
      <c r="R43" s="20"/>
      <c r="AE43" s="1"/>
    </row>
    <row r="44" spans="1:33" x14ac:dyDescent="0.2">
      <c r="R44" s="20"/>
      <c r="AE44" s="1"/>
    </row>
    <row r="45" spans="1:33" x14ac:dyDescent="0.2">
      <c r="A45" s="10" t="s">
        <v>188</v>
      </c>
      <c r="B45" s="87">
        <f>Calculator!C22</f>
        <v>83</v>
      </c>
      <c r="R45" s="20"/>
      <c r="AE45" s="1"/>
    </row>
    <row r="46" spans="1:33" x14ac:dyDescent="0.2">
      <c r="A46" s="10" t="s">
        <v>20</v>
      </c>
      <c r="B46" s="88">
        <f>Calculator!C20</f>
        <v>1156</v>
      </c>
      <c r="R46" s="20"/>
      <c r="AE46" s="1"/>
    </row>
    <row r="47" spans="1:33" ht="25.5" x14ac:dyDescent="0.2">
      <c r="B47" s="10"/>
      <c r="D47" s="72" t="str">
        <f>B30</f>
        <v>2021/22 Prices</v>
      </c>
      <c r="E47" s="72" t="str">
        <f t="shared" ref="E47:G47" si="0">C30</f>
        <v>2022/23 Prices</v>
      </c>
      <c r="F47" s="72" t="str">
        <f t="shared" si="0"/>
        <v>2023/24 Prices</v>
      </c>
      <c r="G47" s="72" t="str">
        <f t="shared" si="0"/>
        <v>2024/25 Prices</v>
      </c>
      <c r="R47" s="20"/>
      <c r="AE47" s="1"/>
    </row>
    <row r="48" spans="1:33" x14ac:dyDescent="0.2">
      <c r="A48" s="10" t="s">
        <v>126</v>
      </c>
      <c r="B48" s="10"/>
      <c r="D48" s="90">
        <f>B31</f>
        <v>6.94</v>
      </c>
      <c r="E48" s="90">
        <f>C31</f>
        <v>7.25</v>
      </c>
      <c r="F48" s="90">
        <f t="shared" ref="F48" si="1">D31</f>
        <v>7.42</v>
      </c>
      <c r="G48" s="90">
        <f>E31</f>
        <v>7.55</v>
      </c>
      <c r="R48" s="20"/>
      <c r="AE48" s="1"/>
    </row>
    <row r="49" spans="1:32" x14ac:dyDescent="0.2">
      <c r="A49" s="10" t="s">
        <v>127</v>
      </c>
      <c r="B49" s="10"/>
      <c r="D49" s="90">
        <f>F31</f>
        <v>6.9</v>
      </c>
      <c r="E49" s="90">
        <f>G31</f>
        <v>7.2</v>
      </c>
      <c r="F49" s="90">
        <f t="shared" ref="F49" si="2">H31</f>
        <v>7.37</v>
      </c>
      <c r="G49" s="90">
        <f>I31</f>
        <v>7.5</v>
      </c>
      <c r="R49" s="20"/>
      <c r="AE49" s="1"/>
    </row>
    <row r="50" spans="1:32" x14ac:dyDescent="0.2">
      <c r="A50" s="10" t="s">
        <v>146</v>
      </c>
      <c r="B50" s="10"/>
      <c r="D50" s="90">
        <f>J31</f>
        <v>3.1</v>
      </c>
      <c r="E50" s="90">
        <f>K31</f>
        <v>3.37</v>
      </c>
      <c r="F50" s="90">
        <f t="shared" ref="F50" si="3">L31</f>
        <v>3.55</v>
      </c>
      <c r="G50" s="90">
        <f>M31</f>
        <v>3.41</v>
      </c>
      <c r="R50" s="20"/>
      <c r="AE50" s="1"/>
    </row>
    <row r="51" spans="1:32" x14ac:dyDescent="0.2">
      <c r="A51" s="26"/>
      <c r="C51" s="8"/>
      <c r="D51" s="8"/>
      <c r="E51" s="8"/>
      <c r="F51" s="8"/>
      <c r="R51" s="20"/>
      <c r="AE51" s="1"/>
    </row>
    <row r="52" spans="1:32" x14ac:dyDescent="0.2">
      <c r="A52" s="26"/>
      <c r="C52" s="8"/>
      <c r="D52" s="8"/>
      <c r="E52" s="8"/>
      <c r="F52" s="8"/>
      <c r="R52" s="20"/>
      <c r="AE52" s="1"/>
    </row>
    <row r="53" spans="1:32" ht="15.75" x14ac:dyDescent="0.25">
      <c r="A53" s="12" t="s">
        <v>147</v>
      </c>
      <c r="B53" s="13"/>
      <c r="C53" s="13"/>
      <c r="D53" s="13"/>
      <c r="E53" s="13"/>
      <c r="F53" s="13"/>
      <c r="R53" s="20"/>
      <c r="AE53" s="1"/>
    </row>
    <row r="54" spans="1:32" x14ac:dyDescent="0.2">
      <c r="R54" s="20"/>
      <c r="AE54" s="1"/>
    </row>
    <row r="55" spans="1:32" ht="25.5" x14ac:dyDescent="0.25">
      <c r="C55" s="72" t="s">
        <v>148</v>
      </c>
      <c r="D55" s="72" t="str">
        <f>B30</f>
        <v>2021/22 Prices</v>
      </c>
      <c r="E55" s="72" t="str">
        <f t="shared" ref="E55:G55" si="4">C30</f>
        <v>2022/23 Prices</v>
      </c>
      <c r="F55" s="72" t="str">
        <f t="shared" si="4"/>
        <v>2023/24 Prices</v>
      </c>
      <c r="G55" s="72" t="str">
        <f t="shared" si="4"/>
        <v>2024/25 Prices</v>
      </c>
      <c r="S55" s="1"/>
      <c r="T55" s="1"/>
      <c r="U55" s="1"/>
      <c r="X55" s="1"/>
      <c r="AB55"/>
      <c r="AC55"/>
      <c r="AF55" s="20"/>
    </row>
    <row r="56" spans="1:32" ht="15" x14ac:dyDescent="0.25">
      <c r="A56" s="86" t="s">
        <v>138</v>
      </c>
      <c r="B56" s="22" t="s">
        <v>149</v>
      </c>
      <c r="C56" s="221" t="s">
        <v>150</v>
      </c>
      <c r="D56" s="91">
        <f>D49*($B$45/100)</f>
        <v>5.7270000000000003</v>
      </c>
      <c r="E56" s="91">
        <f t="shared" ref="E56:G56" si="5">E49*($B$45/100)</f>
        <v>5.976</v>
      </c>
      <c r="F56" s="91">
        <f t="shared" si="5"/>
        <v>6.1170999999999998</v>
      </c>
      <c r="G56" s="91">
        <f t="shared" si="5"/>
        <v>6.2249999999999996</v>
      </c>
      <c r="S56" s="1"/>
      <c r="T56" s="1"/>
      <c r="U56" s="1"/>
      <c r="X56" s="1"/>
      <c r="AB56"/>
      <c r="AC56"/>
      <c r="AF56" s="20"/>
    </row>
    <row r="57" spans="1:32" ht="15" x14ac:dyDescent="0.25">
      <c r="A57" s="86" t="s">
        <v>140</v>
      </c>
      <c r="B57" s="22" t="s">
        <v>151</v>
      </c>
      <c r="C57" s="222"/>
      <c r="D57" s="91">
        <f>(((($B$46/1000)-5)*D$50)+D$49)*($B$45/100)</f>
        <v>-4.1636120000000005</v>
      </c>
      <c r="E57" s="91">
        <f t="shared" ref="E57:G57" si="6">(((($B$46/1000)-5)*E50)+E49)*($B$45/100)</f>
        <v>-4.7760524000000002</v>
      </c>
      <c r="F57" s="91">
        <f t="shared" si="6"/>
        <v>-5.2092460000000003</v>
      </c>
      <c r="G57" s="91">
        <f t="shared" si="6"/>
        <v>-4.6546732000000004</v>
      </c>
      <c r="S57" s="1"/>
      <c r="T57" s="1"/>
      <c r="U57" s="1"/>
      <c r="X57" s="1"/>
      <c r="AB57"/>
      <c r="AC57"/>
      <c r="AF57" s="20"/>
    </row>
    <row r="58" spans="1:32" ht="15" x14ac:dyDescent="0.25">
      <c r="A58" s="86" t="s">
        <v>142</v>
      </c>
      <c r="B58" s="22" t="s">
        <v>152</v>
      </c>
      <c r="C58" s="223"/>
      <c r="D58" s="91" t="e">
        <f>((D50*(5*(SQRT(($B$46/1000)-5))))+D49)*($B$45/100)</f>
        <v>#NUM!</v>
      </c>
      <c r="E58" s="91" t="e">
        <f t="shared" ref="E58:G58" si="7">((E50*(5*(SQRT(($B$46/1000)-5))))+E49)*($B$45/100)</f>
        <v>#NUM!</v>
      </c>
      <c r="F58" s="91" t="e">
        <f t="shared" si="7"/>
        <v>#NUM!</v>
      </c>
      <c r="G58" s="91" t="e">
        <f t="shared" si="7"/>
        <v>#NUM!</v>
      </c>
      <c r="S58" s="1"/>
      <c r="T58" s="1"/>
      <c r="U58" s="1"/>
      <c r="X58" s="1"/>
      <c r="AB58"/>
      <c r="AC58"/>
      <c r="AF58" s="20"/>
    </row>
    <row r="59" spans="1:32" ht="15" x14ac:dyDescent="0.25">
      <c r="S59" s="1"/>
      <c r="T59" s="1"/>
      <c r="U59" s="1"/>
      <c r="X59" s="1"/>
      <c r="AB59"/>
      <c r="AC59"/>
      <c r="AF59" s="20"/>
    </row>
    <row r="60" spans="1:32" ht="15" x14ac:dyDescent="0.25">
      <c r="A60" s="10" t="s">
        <v>153</v>
      </c>
      <c r="B60" s="22" t="str">
        <f>IF(B46&gt;30000,"C",IF(B46&lt;5000,"A","B"))</f>
        <v>A</v>
      </c>
      <c r="C60" s="89">
        <f>D21</f>
        <v>2.19286</v>
      </c>
      <c r="D60" s="89">
        <f>ROUND((VLOOKUP($B$60,$B$56:$G$58,3,FALSE)),2)</f>
        <v>5.73</v>
      </c>
      <c r="E60" s="89">
        <f>ROUND((VLOOKUP($B$60,$B$56:$G$58,4,FALSE)),2)</f>
        <v>5.98</v>
      </c>
      <c r="F60" s="89">
        <f>ROUND((VLOOKUP($B$60,$B$56:$G$58,5,FALSE)),2)</f>
        <v>6.12</v>
      </c>
      <c r="G60" s="89">
        <f>ROUND((VLOOKUP($B$60,$B$56:$G$58,6,FALSE)),2)</f>
        <v>6.23</v>
      </c>
      <c r="S60" s="1"/>
      <c r="T60" s="1"/>
      <c r="U60" s="1"/>
      <c r="X60" s="1"/>
      <c r="AB60"/>
      <c r="AC60"/>
      <c r="AF60" s="20"/>
    </row>
    <row r="61" spans="1:32" ht="15" x14ac:dyDescent="0.25">
      <c r="S61" s="1"/>
      <c r="T61" s="1"/>
      <c r="U61" s="1"/>
      <c r="X61" s="1"/>
      <c r="AB61"/>
      <c r="AC61"/>
      <c r="AF61" s="20"/>
    </row>
    <row r="62" spans="1:32" ht="15" x14ac:dyDescent="0.25">
      <c r="A62" s="92" t="s">
        <v>154</v>
      </c>
      <c r="B62" s="93"/>
      <c r="C62" s="94">
        <f>C60</f>
        <v>2.19286</v>
      </c>
      <c r="D62" s="94">
        <f>IF($B$45&gt;0,MAX(D48,D60),0)</f>
        <v>6.94</v>
      </c>
      <c r="E62" s="94">
        <f t="shared" ref="E62:F62" si="8">IF($B$45&gt;0,MAX(E48,E60),0)</f>
        <v>7.25</v>
      </c>
      <c r="F62" s="94">
        <f t="shared" si="8"/>
        <v>7.42</v>
      </c>
      <c r="G62" s="94">
        <f>IF($B$45&gt;0,MAX(G48,G60),0)</f>
        <v>7.55</v>
      </c>
      <c r="S62" s="1"/>
      <c r="T62" s="1"/>
      <c r="U62" s="1"/>
      <c r="X62" s="1"/>
      <c r="AB62"/>
      <c r="AC62"/>
      <c r="AF62" s="20"/>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A1:AG248"/>
  <sheetViews>
    <sheetView topLeftCell="A25" zoomScale="80" zoomScaleNormal="80" workbookViewId="0">
      <selection activeCell="B49" sqref="B49:K49"/>
    </sheetView>
  </sheetViews>
  <sheetFormatPr defaultColWidth="9.140625" defaultRowHeight="12.75" x14ac:dyDescent="0.2"/>
  <cols>
    <col min="1" max="1" width="29.7109375" style="10" bestFit="1" customWidth="1"/>
    <col min="2" max="9" width="11" style="1" customWidth="1"/>
    <col min="10" max="10" width="12.140625" style="1" customWidth="1"/>
    <col min="11" max="11" width="13.5703125" style="1" customWidth="1"/>
    <col min="12" max="12" width="13.425781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0" customWidth="1"/>
    <col min="20" max="20" width="13.140625" style="20" customWidth="1"/>
    <col min="21" max="21" width="12.7109375" style="20" customWidth="1"/>
    <col min="22" max="22" width="12.28515625" style="20" customWidth="1"/>
    <col min="23" max="23" width="14.5703125" style="20" customWidth="1"/>
    <col min="24" max="24" width="13.28515625" style="20" customWidth="1"/>
    <col min="25" max="25" width="13.7109375" style="20" customWidth="1"/>
    <col min="26" max="26" width="12.5703125" style="20" customWidth="1"/>
    <col min="27" max="28" width="11.140625" style="20" customWidth="1"/>
    <col min="29" max="30" width="12.5703125" style="20" customWidth="1"/>
    <col min="31" max="31" width="11.7109375" style="20"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2" t="s">
        <v>91</v>
      </c>
      <c r="B2" s="13"/>
      <c r="C2" s="13"/>
      <c r="D2" s="13"/>
      <c r="E2" s="13"/>
      <c r="F2" s="13"/>
      <c r="R2" s="19"/>
      <c r="S2" s="1"/>
      <c r="T2" s="1"/>
      <c r="U2" s="1"/>
      <c r="V2" s="1"/>
      <c r="W2" s="1"/>
      <c r="X2" s="1"/>
      <c r="Y2" s="1"/>
      <c r="Z2" s="1"/>
      <c r="AA2" s="1"/>
      <c r="AB2" s="1"/>
      <c r="AC2" s="1"/>
      <c r="AD2" s="1"/>
      <c r="AE2" s="1"/>
    </row>
    <row r="3" spans="1:31" ht="15" customHeight="1" x14ac:dyDescent="0.2">
      <c r="A3" s="1"/>
      <c r="R3" s="19"/>
      <c r="S3" s="1"/>
      <c r="T3" s="1"/>
      <c r="U3" s="1"/>
      <c r="V3" s="1"/>
      <c r="W3" s="1"/>
      <c r="X3" s="1"/>
      <c r="Y3" s="1"/>
      <c r="Z3" s="1"/>
      <c r="AA3" s="1"/>
      <c r="AB3" s="1"/>
      <c r="AC3" s="1"/>
      <c r="AD3" s="1"/>
      <c r="AE3" s="1"/>
    </row>
    <row r="4" spans="1:31" ht="15" customHeight="1" x14ac:dyDescent="0.2">
      <c r="A4" s="1"/>
      <c r="R4" s="19"/>
      <c r="S4" s="1"/>
      <c r="T4" s="1"/>
      <c r="U4" s="1"/>
      <c r="V4" s="1"/>
      <c r="W4" s="1"/>
      <c r="X4" s="1"/>
      <c r="Y4" s="1"/>
      <c r="Z4" s="1"/>
      <c r="AA4" s="1"/>
      <c r="AB4" s="1"/>
      <c r="AC4" s="1"/>
      <c r="AD4" s="1"/>
      <c r="AE4" s="1"/>
    </row>
    <row r="5" spans="1:31" ht="63.75" x14ac:dyDescent="0.2">
      <c r="A5" s="2" t="s">
        <v>175</v>
      </c>
      <c r="B5" s="3" t="s">
        <v>93</v>
      </c>
      <c r="C5" s="4" t="s">
        <v>94</v>
      </c>
      <c r="D5" s="4" t="s">
        <v>95</v>
      </c>
      <c r="E5" s="4" t="s">
        <v>96</v>
      </c>
      <c r="F5" s="4" t="s">
        <v>97</v>
      </c>
      <c r="G5" s="4" t="s">
        <v>98</v>
      </c>
      <c r="H5" s="4" t="s">
        <v>99</v>
      </c>
      <c r="J5" s="5" t="s">
        <v>176</v>
      </c>
      <c r="K5" s="4" t="s">
        <v>96</v>
      </c>
      <c r="L5" s="4" t="s">
        <v>97</v>
      </c>
      <c r="M5" s="4" t="s">
        <v>98</v>
      </c>
      <c r="N5" s="4" t="s">
        <v>99</v>
      </c>
      <c r="R5" s="6"/>
    </row>
    <row r="6" spans="1:31" ht="15" customHeight="1" x14ac:dyDescent="0.2">
      <c r="A6" s="17" t="s">
        <v>177</v>
      </c>
      <c r="B6" s="14"/>
      <c r="C6" s="14">
        <f>0.02642*$B$10</f>
        <v>0</v>
      </c>
      <c r="D6" s="14">
        <f>0.02642*$B$10</f>
        <v>0</v>
      </c>
      <c r="E6" s="14">
        <f>0.13253*$B$10</f>
        <v>0</v>
      </c>
      <c r="F6" s="14">
        <f>0.13248*$B$10</f>
        <v>0</v>
      </c>
      <c r="G6" s="14">
        <f>0.13248*$B$10</f>
        <v>0</v>
      </c>
      <c r="H6" s="14">
        <f>0.13248*$B$10</f>
        <v>0</v>
      </c>
      <c r="J6" s="17" t="s">
        <v>177</v>
      </c>
      <c r="K6" s="15">
        <v>2.6199999999999999E-3</v>
      </c>
      <c r="L6" s="15">
        <v>2.6199999999999999E-3</v>
      </c>
      <c r="M6" s="15">
        <v>2.6199999999999999E-3</v>
      </c>
      <c r="N6" s="15">
        <v>0.43990000000000001</v>
      </c>
      <c r="R6" s="6"/>
    </row>
    <row r="7" spans="1:31" ht="15" customHeight="1" x14ac:dyDescent="0.2">
      <c r="A7" s="17" t="s">
        <v>178</v>
      </c>
      <c r="B7" s="14"/>
      <c r="C7" s="14">
        <f>0.06309*$C$10</f>
        <v>0</v>
      </c>
      <c r="D7" s="14">
        <f>0.06309*$C$10</f>
        <v>0</v>
      </c>
      <c r="E7" s="14">
        <f>0.16116*$C$10</f>
        <v>0</v>
      </c>
      <c r="F7" s="14">
        <f>0.16116*$C$10</f>
        <v>0</v>
      </c>
      <c r="G7" s="14">
        <f>0.16116*$C$10</f>
        <v>0</v>
      </c>
      <c r="H7" s="14">
        <f>0.16116*$C$10</f>
        <v>0</v>
      </c>
      <c r="J7" s="17" t="s">
        <v>178</v>
      </c>
      <c r="K7" s="15">
        <v>4.6999999999999999E-4</v>
      </c>
      <c r="L7" s="15">
        <v>4.6999999999999999E-4</v>
      </c>
      <c r="M7" s="15">
        <v>4.6999999999999999E-4</v>
      </c>
      <c r="N7" s="15">
        <v>7.5800000000000006E-2</v>
      </c>
      <c r="R7" s="6"/>
    </row>
    <row r="8" spans="1:31" ht="15" customHeight="1" x14ac:dyDescent="0.2">
      <c r="A8" s="1"/>
      <c r="R8" s="6"/>
    </row>
    <row r="9" spans="1:31" ht="15" customHeight="1" x14ac:dyDescent="0.2">
      <c r="A9" s="1"/>
      <c r="B9" s="17" t="s">
        <v>177</v>
      </c>
      <c r="C9" s="17" t="s">
        <v>178</v>
      </c>
      <c r="K9" s="95">
        <f>1000*K7</f>
        <v>0.47</v>
      </c>
      <c r="R9" s="6"/>
    </row>
    <row r="10" spans="1:31" ht="15" customHeight="1" x14ac:dyDescent="0.2">
      <c r="A10" s="1" t="s">
        <v>179</v>
      </c>
      <c r="B10" s="34">
        <f>Calculator!C23</f>
        <v>0</v>
      </c>
      <c r="C10" s="34">
        <f>Calculator!C23</f>
        <v>0</v>
      </c>
      <c r="R10" s="6"/>
    </row>
    <row r="11" spans="1:31" x14ac:dyDescent="0.2">
      <c r="A11" s="1" t="s">
        <v>167</v>
      </c>
      <c r="C11" s="14">
        <v>15</v>
      </c>
      <c r="R11" s="6"/>
    </row>
    <row r="12" spans="1:31" s="9" customFormat="1" ht="15" customHeight="1" x14ac:dyDescent="0.2">
      <c r="B12" s="9" t="s">
        <v>180</v>
      </c>
      <c r="S12" s="20"/>
      <c r="T12" s="20"/>
      <c r="U12" s="20"/>
      <c r="V12" s="20"/>
      <c r="W12" s="20"/>
      <c r="X12" s="20"/>
      <c r="Y12" s="20"/>
      <c r="Z12" s="20"/>
      <c r="AA12" s="20"/>
      <c r="AB12" s="20"/>
      <c r="AC12" s="20"/>
      <c r="AD12" s="20"/>
      <c r="AE12" s="20"/>
    </row>
    <row r="13" spans="1:31" s="9" customFormat="1" ht="15" customHeight="1" x14ac:dyDescent="0.2">
      <c r="A13" s="16"/>
      <c r="S13" s="20"/>
      <c r="T13" s="20"/>
      <c r="U13" s="20"/>
      <c r="V13" s="20"/>
      <c r="W13" s="20"/>
      <c r="X13" s="20"/>
      <c r="Y13" s="20"/>
      <c r="Z13" s="20"/>
      <c r="AA13" s="20"/>
      <c r="AB13" s="20"/>
      <c r="AC13" s="20"/>
      <c r="AD13" s="20"/>
      <c r="AE13" s="20"/>
    </row>
    <row r="14" spans="1:31" ht="15" customHeight="1" x14ac:dyDescent="0.2">
      <c r="A14" s="1"/>
      <c r="B14" s="17" t="s">
        <v>177</v>
      </c>
      <c r="C14" s="17" t="s">
        <v>178</v>
      </c>
    </row>
    <row r="15" spans="1:31" ht="15" customHeight="1" x14ac:dyDescent="0.2">
      <c r="B15" s="16"/>
      <c r="C15" s="16"/>
      <c r="Q15" s="20"/>
      <c r="R15" s="20"/>
      <c r="AD15" s="1"/>
      <c r="AE15" s="1"/>
    </row>
    <row r="16" spans="1:31" ht="15" customHeight="1" x14ac:dyDescent="0.2">
      <c r="A16" s="1"/>
      <c r="Q16" s="20"/>
      <c r="R16" s="20"/>
      <c r="T16" s="1"/>
      <c r="U16" s="1"/>
      <c r="V16" s="1"/>
      <c r="W16" s="1"/>
      <c r="X16" s="1"/>
      <c r="Y16" s="1"/>
      <c r="Z16" s="1"/>
      <c r="AA16" s="1"/>
      <c r="AB16" s="1"/>
      <c r="AC16" s="1"/>
      <c r="AD16" s="1"/>
      <c r="AE16" s="1"/>
    </row>
    <row r="17" spans="1:33" ht="15" customHeight="1" x14ac:dyDescent="0.25">
      <c r="A17" s="12" t="s">
        <v>118</v>
      </c>
      <c r="B17" s="13"/>
      <c r="C17" s="13"/>
      <c r="D17" s="13"/>
      <c r="E17" s="13"/>
      <c r="F17" s="13"/>
      <c r="Q17" s="20"/>
      <c r="R17" s="20"/>
      <c r="T17" s="1"/>
      <c r="U17" s="1"/>
      <c r="V17" s="1"/>
      <c r="W17" s="1"/>
      <c r="X17" s="1"/>
      <c r="Y17" s="1"/>
      <c r="Z17" s="1"/>
      <c r="AA17" s="1"/>
      <c r="AB17" s="1"/>
      <c r="AC17" s="1"/>
      <c r="AD17" s="1"/>
      <c r="AE17" s="1"/>
    </row>
    <row r="18" spans="1:33" ht="15" customHeight="1" x14ac:dyDescent="0.2">
      <c r="C18" s="225" t="s">
        <v>119</v>
      </c>
      <c r="D18" s="225"/>
      <c r="F18" s="8"/>
      <c r="J18" s="27"/>
      <c r="Q18" s="20"/>
      <c r="S18" s="1"/>
      <c r="T18" s="1"/>
      <c r="U18" s="1"/>
      <c r="V18" s="1"/>
      <c r="W18" s="1"/>
      <c r="X18" s="1"/>
      <c r="Y18" s="1"/>
      <c r="Z18" s="1"/>
      <c r="AA18" s="1"/>
      <c r="AB18" s="1"/>
      <c r="AC18" s="1"/>
      <c r="AD18" s="1"/>
      <c r="AE18" s="1"/>
    </row>
    <row r="19" spans="1:33" ht="15" customHeight="1" x14ac:dyDescent="0.2">
      <c r="A19" s="1"/>
      <c r="B19" s="11">
        <v>1</v>
      </c>
      <c r="C19" s="20">
        <v>2</v>
      </c>
      <c r="D19" s="20"/>
      <c r="F19" s="8"/>
      <c r="J19" s="27"/>
      <c r="R19" s="20"/>
      <c r="S19" s="21"/>
      <c r="T19" s="1"/>
      <c r="U19" s="1"/>
      <c r="V19" s="1"/>
      <c r="W19" s="1"/>
      <c r="X19" s="1"/>
      <c r="Y19" s="1"/>
      <c r="Z19" s="1"/>
      <c r="AA19" s="1"/>
      <c r="AB19" s="1"/>
      <c r="AC19" s="1"/>
      <c r="AD19" s="1"/>
      <c r="AE19" s="1"/>
    </row>
    <row r="20" spans="1:33" s="6" customFormat="1" ht="15" customHeight="1" x14ac:dyDescent="0.2">
      <c r="B20" s="17"/>
      <c r="C20" s="17" t="s">
        <v>177</v>
      </c>
      <c r="D20" s="17" t="s">
        <v>181</v>
      </c>
      <c r="E20" s="1"/>
      <c r="F20" s="8"/>
      <c r="G20" s="1"/>
      <c r="H20" s="1"/>
      <c r="I20" s="1"/>
      <c r="J20" s="27"/>
      <c r="K20" s="1"/>
      <c r="L20" s="1"/>
      <c r="M20" s="1"/>
      <c r="N20" s="1"/>
      <c r="O20" s="1"/>
      <c r="P20" s="1"/>
      <c r="Q20" s="1"/>
      <c r="R20" s="20"/>
    </row>
    <row r="21" spans="1:33" ht="15" customHeight="1" x14ac:dyDescent="0.2">
      <c r="A21" s="32">
        <f>Calculator!C20</f>
        <v>1156</v>
      </c>
      <c r="B21" s="9">
        <f>A21</f>
        <v>1156</v>
      </c>
      <c r="C21" s="8">
        <f>IF($C$10=0,0,MAX($C$11,(IF($B21&lt;=680,$C$19,IF(AND($B21&gt;=681,$B21&lt;=1999),$D$7,IF(AND($B21&gt;=2000,$B21&lt;=5000),$E$7,IF(AND($B21&gt;=5001,$B21&lt;=7999),$F$7,IF(AND($B21&gt;=8000,$B21&lt;=30000),$G$7,IF($B21&gt;=30001,$H$7))))))+(IF($B21&lt;=2000,0,IF(AND($B21&gt;=2000,$B21&lt;=5000),$K$7,IF(AND($B21&gt;=5001,$B21&lt;=30000),$L$7,IF($B21&gt;=30001,$N$7,0))))*(IF($B21&lt;=30000,($B21-2000),SQRT($B21-2000))))*$C$10/100)))</f>
        <v>0</v>
      </c>
      <c r="D21" s="8">
        <f>IF($B$10=0,0,MAX(C11,C21))</f>
        <v>0</v>
      </c>
      <c r="F21" s="8"/>
      <c r="J21" s="27"/>
      <c r="R21" s="20"/>
      <c r="S21" s="1"/>
      <c r="T21" s="1"/>
      <c r="U21" s="1"/>
      <c r="V21" s="1"/>
      <c r="W21" s="1"/>
      <c r="X21" s="1"/>
      <c r="Y21" s="1"/>
      <c r="Z21" s="1"/>
      <c r="AA21" s="1"/>
      <c r="AB21" s="1"/>
      <c r="AC21" s="1"/>
      <c r="AD21" s="1"/>
      <c r="AE21" s="1"/>
    </row>
    <row r="22" spans="1:33" ht="15" customHeight="1" x14ac:dyDescent="0.2">
      <c r="A22" s="26"/>
      <c r="C22" s="8"/>
      <c r="D22" s="8"/>
      <c r="E22" s="8"/>
      <c r="F22" s="8"/>
      <c r="R22" s="20"/>
      <c r="AE22" s="1"/>
    </row>
    <row r="23" spans="1:33" ht="15.75" x14ac:dyDescent="0.25">
      <c r="A23" s="12" t="s">
        <v>123</v>
      </c>
      <c r="B23" s="13"/>
      <c r="C23" s="13"/>
      <c r="D23" s="13"/>
      <c r="E23" s="13"/>
      <c r="F23" s="13"/>
      <c r="R23" s="20"/>
      <c r="AE23" s="1"/>
    </row>
    <row r="24" spans="1:33" x14ac:dyDescent="0.2">
      <c r="A24" s="26"/>
      <c r="C24" s="8"/>
      <c r="D24" s="8"/>
      <c r="E24" s="8"/>
      <c r="F24" s="8"/>
      <c r="R24" s="20"/>
      <c r="AE24" s="1"/>
    </row>
    <row r="25" spans="1:33" x14ac:dyDescent="0.2">
      <c r="A25" s="26"/>
      <c r="C25" s="8"/>
      <c r="D25" s="8"/>
      <c r="E25" s="8"/>
      <c r="F25" s="8"/>
      <c r="R25" s="20"/>
      <c r="AE25" s="1"/>
    </row>
    <row r="26" spans="1:33" ht="15" x14ac:dyDescent="0.2">
      <c r="A26" s="224" t="s">
        <v>182</v>
      </c>
      <c r="B26" s="224"/>
      <c r="C26" s="224"/>
      <c r="D26" s="224"/>
      <c r="E26" s="224"/>
      <c r="F26" s="224"/>
      <c r="G26" s="224"/>
      <c r="H26" s="224"/>
      <c r="I26" s="224"/>
      <c r="J26" s="224"/>
      <c r="R26" s="20"/>
      <c r="AE26" s="1"/>
    </row>
    <row r="27" spans="1:33" ht="15" customHeight="1" thickBot="1" x14ac:dyDescent="0.3">
      <c r="A27"/>
      <c r="B27" s="249" t="s">
        <v>126</v>
      </c>
      <c r="C27" s="227"/>
      <c r="D27" s="227"/>
      <c r="E27" s="228"/>
      <c r="F27" s="226" t="s">
        <v>127</v>
      </c>
      <c r="G27" s="227"/>
      <c r="H27" s="227"/>
      <c r="I27" s="228"/>
      <c r="J27" s="226" t="s">
        <v>128</v>
      </c>
      <c r="K27" s="227"/>
      <c r="L27" s="227"/>
      <c r="M27" s="227"/>
      <c r="R27" s="20"/>
      <c r="AE27" s="1"/>
    </row>
    <row r="28" spans="1:33" ht="26.25" thickBot="1" x14ac:dyDescent="0.3">
      <c r="A28"/>
      <c r="B28" s="96" t="str">
        <f>'Enroute Domestic'!B30</f>
        <v>2021/22 Prices</v>
      </c>
      <c r="C28" s="73" t="str">
        <f>'Enroute Domestic'!C30</f>
        <v>2022/23 Prices</v>
      </c>
      <c r="D28" s="73" t="str">
        <f>'Enroute Domestic'!D30</f>
        <v>2023/24 Prices</v>
      </c>
      <c r="E28" s="74" t="str">
        <f>'Enroute Domestic'!E30</f>
        <v>2024/25 Prices</v>
      </c>
      <c r="F28" s="96" t="str">
        <f>'Enroute Domestic'!F30</f>
        <v>2021/22 Prices</v>
      </c>
      <c r="G28" s="96" t="str">
        <f>'Enroute Domestic'!G30</f>
        <v>2022/23 Prices</v>
      </c>
      <c r="H28" s="96" t="str">
        <f>'Enroute Domestic'!H30</f>
        <v>2023/24 Prices</v>
      </c>
      <c r="I28" s="96" t="str">
        <f>'Enroute Domestic'!I30</f>
        <v>2024/25 Prices</v>
      </c>
      <c r="J28" s="96" t="str">
        <f>'Enroute Domestic'!J30</f>
        <v>2021/22 Prices</v>
      </c>
      <c r="K28" s="96" t="str">
        <f>'Enroute Domestic'!K30</f>
        <v>2022/23 Prices</v>
      </c>
      <c r="L28" s="96" t="str">
        <f>'Enroute Domestic'!L30</f>
        <v>2023/24 Prices</v>
      </c>
      <c r="M28" s="96" t="str">
        <f>'Enroute Domestic'!M30</f>
        <v>2024/25 Prices</v>
      </c>
      <c r="S28" s="1"/>
      <c r="AF28" s="20"/>
    </row>
    <row r="29" spans="1:33" ht="13.5" thickBot="1" x14ac:dyDescent="0.25">
      <c r="A29" s="70" t="s">
        <v>183</v>
      </c>
      <c r="B29" s="101">
        <v>6.94</v>
      </c>
      <c r="C29" s="207">
        <v>7.25</v>
      </c>
      <c r="D29" s="207">
        <v>7.42</v>
      </c>
      <c r="E29" s="207">
        <v>7.55</v>
      </c>
      <c r="F29" s="101">
        <v>6.9</v>
      </c>
      <c r="G29" s="207">
        <v>7.2</v>
      </c>
      <c r="H29" s="207">
        <v>7.37</v>
      </c>
      <c r="I29" s="207">
        <v>7.5</v>
      </c>
      <c r="J29" s="101">
        <v>3.1</v>
      </c>
      <c r="K29" s="197">
        <v>3.37</v>
      </c>
      <c r="L29" s="197">
        <v>3.55</v>
      </c>
      <c r="M29" s="198">
        <v>3.41</v>
      </c>
      <c r="S29" s="1"/>
      <c r="T29" s="1"/>
      <c r="AF29" s="20"/>
      <c r="AG29" s="20"/>
    </row>
    <row r="30" spans="1:33" ht="13.5" thickBot="1" x14ac:dyDescent="0.25">
      <c r="A30" s="71" t="s">
        <v>184</v>
      </c>
      <c r="B30" s="99">
        <v>20.83</v>
      </c>
      <c r="C30" s="208">
        <v>21.75</v>
      </c>
      <c r="D30" s="208">
        <v>22.27</v>
      </c>
      <c r="E30" s="208">
        <v>22.65</v>
      </c>
      <c r="F30" s="99">
        <v>6.9</v>
      </c>
      <c r="G30" s="208">
        <v>7.2</v>
      </c>
      <c r="H30" s="208">
        <v>7.37</v>
      </c>
      <c r="I30" s="208">
        <v>7.5</v>
      </c>
      <c r="J30" s="99">
        <v>0.75</v>
      </c>
      <c r="K30" s="199">
        <v>0.81</v>
      </c>
      <c r="L30" s="199">
        <v>1.03</v>
      </c>
      <c r="M30" s="200">
        <v>0.94</v>
      </c>
      <c r="S30" s="1"/>
      <c r="T30" s="1"/>
      <c r="AF30" s="20"/>
      <c r="AG30" s="20"/>
    </row>
    <row r="31" spans="1:33" ht="15" x14ac:dyDescent="0.25">
      <c r="A31"/>
      <c r="B31"/>
      <c r="C31"/>
      <c r="D31"/>
      <c r="E31"/>
      <c r="F31"/>
      <c r="G31"/>
      <c r="H31"/>
      <c r="I31"/>
      <c r="J31"/>
      <c r="K31"/>
      <c r="L31"/>
      <c r="S31" s="1"/>
      <c r="AF31" s="20"/>
    </row>
    <row r="32" spans="1:33" ht="15" x14ac:dyDescent="0.25">
      <c r="A32"/>
      <c r="B32"/>
      <c r="C32"/>
      <c r="D32"/>
      <c r="E32"/>
      <c r="F32"/>
      <c r="G32"/>
      <c r="H32"/>
      <c r="I32"/>
      <c r="J32"/>
      <c r="K32"/>
      <c r="L32"/>
      <c r="M32"/>
      <c r="S32" s="1"/>
      <c r="T32" s="1"/>
      <c r="AF32" s="20"/>
      <c r="AG32" s="20"/>
    </row>
    <row r="33" spans="1:31" ht="15.75" x14ac:dyDescent="0.25">
      <c r="A33" s="12" t="s">
        <v>136</v>
      </c>
      <c r="B33" s="13"/>
      <c r="C33" s="13"/>
      <c r="D33" s="13"/>
      <c r="E33" s="13"/>
      <c r="F33" s="13"/>
      <c r="G33"/>
      <c r="H33"/>
      <c r="I33"/>
      <c r="J33"/>
      <c r="K33"/>
    </row>
    <row r="34" spans="1:31" ht="15" x14ac:dyDescent="0.25">
      <c r="A34"/>
      <c r="B34"/>
      <c r="C34"/>
      <c r="D34"/>
      <c r="E34"/>
      <c r="F34"/>
      <c r="G34"/>
      <c r="H34"/>
      <c r="I34"/>
      <c r="J34"/>
      <c r="R34" s="20"/>
      <c r="AE34" s="1"/>
    </row>
    <row r="35" spans="1:31" ht="15" x14ac:dyDescent="0.25">
      <c r="A35" s="10" t="s">
        <v>137</v>
      </c>
      <c r="B35" s="35"/>
      <c r="H35"/>
      <c r="I35"/>
      <c r="J35"/>
      <c r="R35" s="20"/>
      <c r="AE35" s="1"/>
    </row>
    <row r="36" spans="1:31" ht="15" x14ac:dyDescent="0.25">
      <c r="B36" s="35"/>
      <c r="H36"/>
      <c r="I36"/>
      <c r="J36"/>
      <c r="R36" s="20"/>
      <c r="AE36" s="1"/>
    </row>
    <row r="37" spans="1:31" x14ac:dyDescent="0.2">
      <c r="A37" s="86" t="s">
        <v>138</v>
      </c>
      <c r="B37" s="220" t="s">
        <v>185</v>
      </c>
      <c r="C37" s="220"/>
      <c r="D37" s="220"/>
      <c r="E37" s="220"/>
      <c r="F37" s="220"/>
      <c r="R37" s="20"/>
      <c r="AE37" s="1"/>
    </row>
    <row r="38" spans="1:31" x14ac:dyDescent="0.2">
      <c r="A38" s="86" t="s">
        <v>140</v>
      </c>
      <c r="B38" s="220" t="s">
        <v>186</v>
      </c>
      <c r="C38" s="220"/>
      <c r="D38" s="220"/>
      <c r="E38" s="220"/>
      <c r="F38" s="220"/>
      <c r="R38" s="20"/>
      <c r="AE38" s="1"/>
    </row>
    <row r="39" spans="1:31" x14ac:dyDescent="0.2">
      <c r="A39" s="86" t="s">
        <v>142</v>
      </c>
      <c r="B39" s="220" t="s">
        <v>189</v>
      </c>
      <c r="C39" s="220"/>
      <c r="D39" s="220"/>
      <c r="E39" s="220"/>
      <c r="F39" s="220"/>
      <c r="R39" s="20"/>
      <c r="AE39" s="1"/>
    </row>
    <row r="40" spans="1:31" x14ac:dyDescent="0.2">
      <c r="B40" s="220"/>
      <c r="C40" s="220"/>
      <c r="D40" s="220"/>
      <c r="E40" s="220"/>
      <c r="F40" s="220"/>
      <c r="R40" s="20"/>
      <c r="AE40" s="1"/>
    </row>
    <row r="41" spans="1:31" ht="15.75" x14ac:dyDescent="0.25">
      <c r="A41" s="12" t="s">
        <v>144</v>
      </c>
      <c r="B41" s="13"/>
      <c r="C41" s="13"/>
      <c r="D41" s="13"/>
      <c r="E41" s="13"/>
      <c r="F41" s="13"/>
      <c r="R41" s="20"/>
      <c r="AE41" s="1"/>
    </row>
    <row r="42" spans="1:31" x14ac:dyDescent="0.2">
      <c r="R42" s="20"/>
      <c r="AE42" s="1"/>
    </row>
    <row r="43" spans="1:31" x14ac:dyDescent="0.2">
      <c r="A43" s="10" t="s">
        <v>188</v>
      </c>
      <c r="B43" s="87">
        <f>Calculator!C23</f>
        <v>0</v>
      </c>
      <c r="R43" s="20"/>
      <c r="AE43" s="1"/>
    </row>
    <row r="44" spans="1:31" x14ac:dyDescent="0.2">
      <c r="A44" s="10" t="s">
        <v>20</v>
      </c>
      <c r="B44" s="88">
        <f>Calculator!C20</f>
        <v>1156</v>
      </c>
      <c r="R44" s="20"/>
      <c r="AE44" s="1"/>
    </row>
    <row r="45" spans="1:31" ht="25.5" x14ac:dyDescent="0.2">
      <c r="B45" s="10"/>
      <c r="D45" s="72" t="str">
        <f>B28</f>
        <v>2021/22 Prices</v>
      </c>
      <c r="E45" s="72" t="str">
        <f t="shared" ref="E45:G45" si="0">C28</f>
        <v>2022/23 Prices</v>
      </c>
      <c r="F45" s="72" t="str">
        <f t="shared" si="0"/>
        <v>2023/24 Prices</v>
      </c>
      <c r="G45" s="72" t="str">
        <f t="shared" si="0"/>
        <v>2024/25 Prices</v>
      </c>
      <c r="R45" s="20"/>
      <c r="AE45" s="1"/>
    </row>
    <row r="46" spans="1:31" x14ac:dyDescent="0.2">
      <c r="A46" s="10" t="s">
        <v>126</v>
      </c>
      <c r="B46" s="10"/>
      <c r="D46" s="90">
        <f>B30</f>
        <v>20.83</v>
      </c>
      <c r="E46" s="90">
        <f t="shared" ref="E46:G46" si="1">C30</f>
        <v>21.75</v>
      </c>
      <c r="F46" s="90">
        <f t="shared" si="1"/>
        <v>22.27</v>
      </c>
      <c r="G46" s="90">
        <f t="shared" si="1"/>
        <v>22.65</v>
      </c>
      <c r="R46" s="20"/>
      <c r="AE46" s="1"/>
    </row>
    <row r="47" spans="1:31" x14ac:dyDescent="0.2">
      <c r="A47" s="10" t="s">
        <v>127</v>
      </c>
      <c r="B47" s="10"/>
      <c r="D47" s="90">
        <f>F30</f>
        <v>6.9</v>
      </c>
      <c r="E47" s="90">
        <f t="shared" ref="E47:G47" si="2">G30</f>
        <v>7.2</v>
      </c>
      <c r="F47" s="90">
        <f t="shared" si="2"/>
        <v>7.37</v>
      </c>
      <c r="G47" s="90">
        <f t="shared" si="2"/>
        <v>7.5</v>
      </c>
      <c r="R47" s="20"/>
      <c r="AE47" s="1"/>
    </row>
    <row r="48" spans="1:31" x14ac:dyDescent="0.2">
      <c r="A48" s="10" t="s">
        <v>146</v>
      </c>
      <c r="B48" s="10"/>
      <c r="D48" s="90">
        <f>J30</f>
        <v>0.75</v>
      </c>
      <c r="E48" s="90">
        <f t="shared" ref="E48:G48" si="3">K30</f>
        <v>0.81</v>
      </c>
      <c r="F48" s="90">
        <f t="shared" si="3"/>
        <v>1.03</v>
      </c>
      <c r="G48" s="90">
        <f t="shared" si="3"/>
        <v>0.94</v>
      </c>
      <c r="R48" s="20"/>
      <c r="AE48" s="1"/>
    </row>
    <row r="49" spans="1:32" x14ac:dyDescent="0.2">
      <c r="A49" s="26"/>
      <c r="C49" s="8"/>
      <c r="D49" s="8"/>
      <c r="E49" s="8"/>
      <c r="F49" s="8"/>
      <c r="R49" s="20"/>
      <c r="AE49" s="1"/>
    </row>
    <row r="50" spans="1:32" x14ac:dyDescent="0.2">
      <c r="A50" s="26"/>
      <c r="C50" s="8"/>
      <c r="D50" s="8"/>
      <c r="E50" s="8"/>
      <c r="F50" s="8"/>
      <c r="R50" s="20"/>
      <c r="AE50" s="1"/>
    </row>
    <row r="51" spans="1:32" ht="15.75" x14ac:dyDescent="0.25">
      <c r="A51" s="12" t="s">
        <v>147</v>
      </c>
      <c r="B51" s="13"/>
      <c r="C51" s="13"/>
      <c r="D51" s="13"/>
      <c r="E51" s="13"/>
      <c r="F51" s="13"/>
      <c r="R51" s="20"/>
      <c r="AE51" s="1"/>
    </row>
    <row r="52" spans="1:32" x14ac:dyDescent="0.2">
      <c r="R52" s="20"/>
      <c r="AE52" s="1"/>
    </row>
    <row r="53" spans="1:32" ht="25.5" x14ac:dyDescent="0.25">
      <c r="C53" s="72" t="s">
        <v>148</v>
      </c>
      <c r="D53" s="72" t="str">
        <f>B28</f>
        <v>2021/22 Prices</v>
      </c>
      <c r="E53" s="72" t="str">
        <f t="shared" ref="E53:G53" si="4">C28</f>
        <v>2022/23 Prices</v>
      </c>
      <c r="F53" s="72" t="str">
        <f t="shared" si="4"/>
        <v>2023/24 Prices</v>
      </c>
      <c r="G53" s="72" t="str">
        <f t="shared" si="4"/>
        <v>2024/25 Prices</v>
      </c>
      <c r="S53" s="1"/>
      <c r="T53" s="1"/>
      <c r="U53" s="1"/>
      <c r="X53" s="1"/>
      <c r="AB53"/>
      <c r="AC53"/>
      <c r="AF53" s="20"/>
    </row>
    <row r="54" spans="1:32" ht="15" x14ac:dyDescent="0.25">
      <c r="A54" s="86" t="s">
        <v>138</v>
      </c>
      <c r="B54" s="22" t="s">
        <v>149</v>
      </c>
      <c r="C54" s="221" t="s">
        <v>150</v>
      </c>
      <c r="D54" s="91">
        <f>D47*($B$43/100)</f>
        <v>0</v>
      </c>
      <c r="E54" s="91">
        <f t="shared" ref="E54:G54" si="5">E47*($B$43/100)</f>
        <v>0</v>
      </c>
      <c r="F54" s="91">
        <f t="shared" si="5"/>
        <v>0</v>
      </c>
      <c r="G54" s="91">
        <f t="shared" si="5"/>
        <v>0</v>
      </c>
      <c r="S54" s="1"/>
      <c r="T54" s="1"/>
      <c r="U54" s="1"/>
      <c r="X54" s="1"/>
      <c r="AB54"/>
      <c r="AC54"/>
      <c r="AF54" s="20"/>
    </row>
    <row r="55" spans="1:32" ht="15" x14ac:dyDescent="0.25">
      <c r="A55" s="86" t="s">
        <v>140</v>
      </c>
      <c r="B55" s="22" t="s">
        <v>151</v>
      </c>
      <c r="C55" s="222"/>
      <c r="D55" s="91">
        <f>(((($B$44/1000)-5)*D$48)+D$47)*($B$43/100)</f>
        <v>0</v>
      </c>
      <c r="E55" s="91">
        <f t="shared" ref="E55:G55" si="6">(((($B$44/1000)-5)*E$48)+E$47)*($B$43/100)</f>
        <v>0</v>
      </c>
      <c r="F55" s="91">
        <f t="shared" si="6"/>
        <v>0</v>
      </c>
      <c r="G55" s="91">
        <f t="shared" si="6"/>
        <v>0</v>
      </c>
      <c r="S55" s="1"/>
      <c r="T55" s="1"/>
      <c r="U55" s="1"/>
      <c r="X55" s="1"/>
      <c r="AB55"/>
      <c r="AC55"/>
      <c r="AF55" s="20"/>
    </row>
    <row r="56" spans="1:32" ht="15" x14ac:dyDescent="0.25">
      <c r="A56" s="86" t="s">
        <v>142</v>
      </c>
      <c r="B56" s="22" t="s">
        <v>152</v>
      </c>
      <c r="C56" s="223"/>
      <c r="D56" s="91" t="e">
        <f>((D48*(5*(SQRT(($B$44/1000)-5))))+D47)*($B$43/100)</f>
        <v>#NUM!</v>
      </c>
      <c r="E56" s="91" t="e">
        <f t="shared" ref="E56:G56" si="7">((E48*(5*(SQRT(($B$44/1000)-5))))+E47)*($B$43/100)</f>
        <v>#NUM!</v>
      </c>
      <c r="F56" s="91" t="e">
        <f t="shared" si="7"/>
        <v>#NUM!</v>
      </c>
      <c r="G56" s="91" t="e">
        <f t="shared" si="7"/>
        <v>#NUM!</v>
      </c>
      <c r="S56" s="1"/>
      <c r="T56" s="1"/>
      <c r="U56" s="1"/>
      <c r="X56" s="1"/>
      <c r="AB56"/>
      <c r="AC56"/>
      <c r="AF56" s="20"/>
    </row>
    <row r="57" spans="1:32" ht="15" x14ac:dyDescent="0.25">
      <c r="S57" s="1"/>
      <c r="T57" s="1"/>
      <c r="U57" s="1"/>
      <c r="X57" s="1"/>
      <c r="AB57"/>
      <c r="AC57"/>
      <c r="AF57" s="20"/>
    </row>
    <row r="58" spans="1:32" ht="15" x14ac:dyDescent="0.25">
      <c r="A58" s="10" t="s">
        <v>153</v>
      </c>
      <c r="B58" s="22" t="str">
        <f>IF(B44&gt;30000,"C",IF(B44&lt;5000,"A","B"))</f>
        <v>A</v>
      </c>
      <c r="C58" s="89">
        <f>D19</f>
        <v>0</v>
      </c>
      <c r="D58" s="89">
        <f>ROUND((VLOOKUP($B$58,$B$54:$G$536,3,FALSE)),2)</f>
        <v>0</v>
      </c>
      <c r="E58" s="89">
        <f>ROUND((VLOOKUP($B$58,$B$54:$G$536,4,FALSE)),2)</f>
        <v>0</v>
      </c>
      <c r="F58" s="89">
        <f>ROUND((VLOOKUP($B$58,$B$54:$G$536,5,FALSE)),2)</f>
        <v>0</v>
      </c>
      <c r="G58" s="89">
        <f>ROUND((VLOOKUP($B$58,$B$54:$G$536,6,FALSE)),2)</f>
        <v>0</v>
      </c>
      <c r="S58" s="1"/>
      <c r="T58" s="1"/>
      <c r="U58" s="1"/>
      <c r="X58" s="1"/>
      <c r="AB58"/>
      <c r="AC58"/>
      <c r="AF58" s="20"/>
    </row>
    <row r="59" spans="1:32" ht="15" x14ac:dyDescent="0.25">
      <c r="S59" s="1"/>
      <c r="T59" s="1"/>
      <c r="U59" s="1"/>
      <c r="X59" s="1"/>
      <c r="AB59"/>
      <c r="AC59"/>
      <c r="AF59" s="20"/>
    </row>
    <row r="60" spans="1:32" ht="15" x14ac:dyDescent="0.25">
      <c r="A60" s="92" t="s">
        <v>154</v>
      </c>
      <c r="B60" s="93"/>
      <c r="C60" s="94">
        <f>D21</f>
        <v>0</v>
      </c>
      <c r="D60" s="94">
        <f>IF($B$43&gt;0,MAX(D46,D58),0)</f>
        <v>0</v>
      </c>
      <c r="E60" s="94">
        <f t="shared" ref="E60:F60" si="8">IF($B$43&gt;0,MAX(E46,E58),0)</f>
        <v>0</v>
      </c>
      <c r="F60" s="94">
        <f t="shared" si="8"/>
        <v>0</v>
      </c>
      <c r="G60" s="94">
        <f>IF($B$43&gt;0,MAX(G46,G58),0)</f>
        <v>0</v>
      </c>
      <c r="S60" s="1"/>
      <c r="T60" s="1"/>
      <c r="U60" s="1"/>
      <c r="X60" s="1"/>
      <c r="AB60"/>
      <c r="AC60"/>
      <c r="AF60" s="20"/>
    </row>
    <row r="61" spans="1:32" x14ac:dyDescent="0.2">
      <c r="A61" s="26"/>
      <c r="C61" s="8"/>
      <c r="D61" s="8"/>
      <c r="E61" s="8"/>
      <c r="F61" s="8"/>
      <c r="R61" s="20"/>
      <c r="AE61" s="1"/>
    </row>
    <row r="62" spans="1:32" x14ac:dyDescent="0.2">
      <c r="A62" s="26"/>
      <c r="C62" s="8"/>
      <c r="D62" s="8"/>
      <c r="E62" s="8"/>
      <c r="F62" s="8"/>
      <c r="R62" s="20"/>
      <c r="AE62" s="1"/>
    </row>
    <row r="63" spans="1:32" x14ac:dyDescent="0.2">
      <c r="A63" s="26"/>
      <c r="C63" s="8"/>
      <c r="D63" s="8"/>
      <c r="E63" s="8"/>
      <c r="F63" s="8"/>
      <c r="R63" s="20"/>
      <c r="AE63" s="1"/>
    </row>
    <row r="64" spans="1:32" x14ac:dyDescent="0.2">
      <c r="A64" s="26"/>
      <c r="C64" s="8"/>
      <c r="D64" s="8"/>
      <c r="E64" s="8"/>
      <c r="F64" s="8"/>
      <c r="R64" s="20"/>
      <c r="AE64" s="1"/>
    </row>
    <row r="65" spans="1:31" x14ac:dyDescent="0.2">
      <c r="A65" s="26"/>
      <c r="C65" s="8"/>
      <c r="D65" s="8"/>
      <c r="E65" s="8"/>
      <c r="F65" s="8"/>
      <c r="R65" s="20"/>
      <c r="AE65" s="1"/>
    </row>
    <row r="66" spans="1:31" x14ac:dyDescent="0.2">
      <c r="A66" s="26"/>
      <c r="C66" s="8"/>
      <c r="D66" s="8"/>
      <c r="E66" s="8"/>
      <c r="F66" s="8"/>
      <c r="R66" s="20"/>
      <c r="AE66" s="1"/>
    </row>
    <row r="67" spans="1:31" x14ac:dyDescent="0.2">
      <c r="A67" s="26"/>
      <c r="C67" s="8"/>
      <c r="D67" s="8"/>
      <c r="E67" s="8"/>
      <c r="F67" s="8"/>
      <c r="R67" s="20"/>
      <c r="AE67" s="1"/>
    </row>
    <row r="68" spans="1:31" x14ac:dyDescent="0.2">
      <c r="A68" s="26"/>
      <c r="C68" s="8"/>
      <c r="D68" s="8"/>
      <c r="E68" s="8"/>
      <c r="F68" s="8"/>
      <c r="R68" s="20"/>
      <c r="AE68" s="1"/>
    </row>
    <row r="69" spans="1:31" x14ac:dyDescent="0.2">
      <c r="A69" s="26"/>
      <c r="C69" s="8"/>
      <c r="D69" s="8"/>
      <c r="E69" s="8"/>
      <c r="F69" s="8"/>
      <c r="R69" s="20"/>
      <c r="AE69" s="1"/>
    </row>
    <row r="70" spans="1:31" x14ac:dyDescent="0.2">
      <c r="A70" s="26"/>
      <c r="C70" s="8"/>
      <c r="D70" s="8"/>
      <c r="E70" s="8"/>
      <c r="F70" s="8"/>
      <c r="R70" s="20"/>
      <c r="AE70" s="1"/>
    </row>
    <row r="71" spans="1:31" x14ac:dyDescent="0.2">
      <c r="A71" s="26"/>
      <c r="C71" s="8"/>
      <c r="D71" s="8"/>
      <c r="E71" s="8"/>
      <c r="F71" s="8"/>
      <c r="R71" s="20"/>
      <c r="AE71" s="1"/>
    </row>
    <row r="72" spans="1:31" x14ac:dyDescent="0.2">
      <c r="A72" s="26"/>
      <c r="C72" s="8"/>
      <c r="D72" s="8"/>
      <c r="E72" s="8"/>
      <c r="F72" s="8"/>
      <c r="R72" s="20"/>
      <c r="AE72" s="1"/>
    </row>
    <row r="73" spans="1:31" x14ac:dyDescent="0.2">
      <c r="A73" s="26"/>
      <c r="C73" s="8"/>
      <c r="D73" s="8"/>
      <c r="E73" s="8"/>
      <c r="F73" s="8"/>
      <c r="R73" s="20"/>
      <c r="AE73" s="1"/>
    </row>
    <row r="74" spans="1:31" x14ac:dyDescent="0.2">
      <c r="A74" s="26"/>
      <c r="C74" s="8"/>
      <c r="D74" s="8"/>
      <c r="E74" s="8"/>
      <c r="F74" s="8"/>
      <c r="R74" s="20"/>
      <c r="AE74" s="1"/>
    </row>
    <row r="75" spans="1:31" x14ac:dyDescent="0.2">
      <c r="A75" s="26"/>
      <c r="C75" s="8"/>
      <c r="D75" s="8"/>
      <c r="E75" s="8"/>
      <c r="F75" s="8"/>
      <c r="R75" s="20"/>
      <c r="AE75" s="1"/>
    </row>
    <row r="76" spans="1:31" x14ac:dyDescent="0.2">
      <c r="A76" s="26"/>
      <c r="C76" s="8"/>
      <c r="D76" s="8"/>
      <c r="E76" s="8"/>
      <c r="F76" s="8"/>
      <c r="R76" s="20"/>
      <c r="AE76" s="1"/>
    </row>
    <row r="77" spans="1:31" x14ac:dyDescent="0.2">
      <c r="A77" s="26"/>
      <c r="C77" s="8"/>
      <c r="D77" s="8"/>
      <c r="E77" s="8"/>
      <c r="F77" s="8"/>
      <c r="R77" s="20"/>
      <c r="AE77" s="1"/>
    </row>
    <row r="78" spans="1:31" x14ac:dyDescent="0.2">
      <c r="A78" s="26"/>
      <c r="C78" s="8"/>
      <c r="D78" s="8"/>
      <c r="E78" s="8"/>
      <c r="F78" s="8"/>
      <c r="R78" s="20"/>
      <c r="AE78" s="1"/>
    </row>
    <row r="79" spans="1:31" x14ac:dyDescent="0.2">
      <c r="A79" s="26"/>
      <c r="C79" s="8"/>
      <c r="D79" s="8"/>
      <c r="E79" s="8"/>
      <c r="F79" s="8"/>
      <c r="R79" s="20"/>
      <c r="AE79" s="1"/>
    </row>
    <row r="80" spans="1:31" x14ac:dyDescent="0.2">
      <c r="A80" s="26"/>
      <c r="C80" s="8"/>
      <c r="D80" s="8"/>
      <c r="E80" s="8"/>
      <c r="F80" s="8"/>
      <c r="R80" s="20"/>
      <c r="AE80" s="1"/>
    </row>
    <row r="81" spans="1:31" x14ac:dyDescent="0.2">
      <c r="A81" s="26"/>
      <c r="C81" s="8"/>
      <c r="D81" s="8"/>
      <c r="E81" s="8"/>
      <c r="F81" s="8"/>
      <c r="R81" s="20"/>
      <c r="AE81" s="1"/>
    </row>
    <row r="82" spans="1:31" x14ac:dyDescent="0.2">
      <c r="A82" s="26"/>
      <c r="C82" s="8"/>
      <c r="D82" s="8"/>
      <c r="E82" s="8"/>
      <c r="F82" s="8"/>
      <c r="R82" s="20"/>
      <c r="AE82" s="1"/>
    </row>
    <row r="83" spans="1:31" x14ac:dyDescent="0.2">
      <c r="A83" s="26"/>
      <c r="C83" s="8"/>
      <c r="D83" s="8"/>
      <c r="E83" s="8"/>
      <c r="F83" s="8"/>
      <c r="R83" s="20"/>
      <c r="AE83" s="1"/>
    </row>
    <row r="84" spans="1:31" x14ac:dyDescent="0.2">
      <c r="A84" s="26"/>
      <c r="C84" s="8"/>
      <c r="D84" s="8"/>
      <c r="E84" s="8"/>
      <c r="F84" s="8"/>
      <c r="R84" s="20"/>
      <c r="AE84" s="1"/>
    </row>
    <row r="85" spans="1:31" x14ac:dyDescent="0.2">
      <c r="A85" s="26"/>
      <c r="C85" s="8"/>
      <c r="D85" s="8"/>
      <c r="E85" s="8"/>
      <c r="F85" s="8"/>
      <c r="R85" s="20"/>
      <c r="AE85" s="1"/>
    </row>
    <row r="86" spans="1:31" x14ac:dyDescent="0.2">
      <c r="A86" s="26"/>
      <c r="C86" s="8"/>
      <c r="D86" s="8"/>
      <c r="E86" s="8"/>
      <c r="F86" s="8"/>
      <c r="R86" s="20"/>
      <c r="AE86" s="1"/>
    </row>
    <row r="87" spans="1:31" x14ac:dyDescent="0.2">
      <c r="A87" s="26"/>
      <c r="C87" s="8"/>
      <c r="D87" s="8"/>
      <c r="E87" s="8"/>
      <c r="F87" s="8"/>
      <c r="R87" s="20"/>
      <c r="AE87" s="1"/>
    </row>
    <row r="88" spans="1:31" x14ac:dyDescent="0.2">
      <c r="A88" s="26"/>
      <c r="C88" s="8"/>
      <c r="D88" s="8"/>
      <c r="E88" s="8"/>
      <c r="F88" s="8"/>
      <c r="R88" s="20"/>
      <c r="AE88" s="1"/>
    </row>
    <row r="89" spans="1:31" x14ac:dyDescent="0.2">
      <c r="A89" s="26"/>
      <c r="C89" s="8"/>
      <c r="D89" s="8"/>
      <c r="E89" s="8"/>
      <c r="F89" s="8"/>
      <c r="R89" s="20"/>
      <c r="AE89" s="1"/>
    </row>
    <row r="90" spans="1:31" x14ac:dyDescent="0.2">
      <c r="A90" s="26"/>
      <c r="C90" s="8"/>
      <c r="D90" s="8"/>
      <c r="E90" s="8"/>
      <c r="F90" s="8"/>
      <c r="R90" s="20"/>
      <c r="AE90" s="1"/>
    </row>
    <row r="91" spans="1:31" x14ac:dyDescent="0.2">
      <c r="A91" s="26"/>
      <c r="C91" s="8"/>
      <c r="D91" s="8"/>
      <c r="E91" s="8"/>
      <c r="F91" s="8"/>
      <c r="R91" s="20"/>
      <c r="AE91" s="1"/>
    </row>
    <row r="92" spans="1:31" x14ac:dyDescent="0.2">
      <c r="A92" s="26"/>
      <c r="C92" s="8"/>
      <c r="D92" s="8"/>
      <c r="E92" s="8"/>
      <c r="F92" s="8"/>
      <c r="R92" s="20"/>
      <c r="AE92" s="1"/>
    </row>
    <row r="93" spans="1:31" x14ac:dyDescent="0.2">
      <c r="A93" s="26"/>
      <c r="C93" s="8"/>
      <c r="D93" s="8"/>
      <c r="E93" s="8"/>
      <c r="F93" s="8"/>
      <c r="R93" s="20"/>
      <c r="AE93" s="1"/>
    </row>
    <row r="94" spans="1:31" x14ac:dyDescent="0.2">
      <c r="A94" s="26"/>
      <c r="C94" s="8"/>
      <c r="D94" s="8"/>
      <c r="E94" s="8"/>
      <c r="F94" s="8"/>
      <c r="R94" s="20"/>
      <c r="AE94" s="1"/>
    </row>
    <row r="95" spans="1:31" x14ac:dyDescent="0.2">
      <c r="A95" s="26"/>
      <c r="C95" s="8"/>
      <c r="D95" s="8"/>
      <c r="E95" s="8"/>
      <c r="F95" s="8"/>
      <c r="R95" s="20"/>
      <c r="AE95" s="1"/>
    </row>
    <row r="96" spans="1:31" x14ac:dyDescent="0.2">
      <c r="A96" s="26"/>
      <c r="C96" s="8"/>
      <c r="D96" s="8"/>
      <c r="E96" s="8"/>
      <c r="F96" s="8"/>
      <c r="R96" s="20"/>
      <c r="AE96" s="1"/>
    </row>
    <row r="97" spans="1:31" x14ac:dyDescent="0.2">
      <c r="A97" s="26"/>
      <c r="C97" s="8"/>
      <c r="D97" s="8"/>
      <c r="E97" s="8"/>
      <c r="F97" s="8"/>
      <c r="R97" s="20"/>
      <c r="AE97" s="1"/>
    </row>
    <row r="98" spans="1:31" x14ac:dyDescent="0.2">
      <c r="A98" s="26"/>
      <c r="C98" s="8"/>
      <c r="D98" s="8"/>
      <c r="E98" s="8"/>
      <c r="F98" s="8"/>
      <c r="R98" s="20"/>
      <c r="AE98" s="1"/>
    </row>
    <row r="99" spans="1:31" x14ac:dyDescent="0.2">
      <c r="A99" s="26"/>
      <c r="C99" s="8"/>
      <c r="D99" s="8"/>
      <c r="E99" s="8"/>
      <c r="F99" s="8"/>
      <c r="R99" s="20"/>
      <c r="AE99" s="1"/>
    </row>
    <row r="100" spans="1:31" x14ac:dyDescent="0.2">
      <c r="A100" s="26"/>
      <c r="C100" s="8"/>
      <c r="D100" s="8"/>
      <c r="E100" s="8"/>
      <c r="F100" s="8"/>
      <c r="R100" s="20"/>
      <c r="AE100" s="1"/>
    </row>
    <row r="101" spans="1:31" x14ac:dyDescent="0.2">
      <c r="A101" s="26"/>
      <c r="C101" s="8"/>
      <c r="D101" s="8"/>
      <c r="E101" s="8"/>
      <c r="F101" s="8"/>
      <c r="R101" s="20"/>
      <c r="AE101" s="1"/>
    </row>
    <row r="102" spans="1:31" x14ac:dyDescent="0.2">
      <c r="A102" s="26"/>
      <c r="C102" s="8"/>
      <c r="D102" s="8"/>
      <c r="E102" s="8"/>
      <c r="F102" s="8"/>
      <c r="R102" s="20"/>
      <c r="AE102" s="1"/>
    </row>
    <row r="103" spans="1:31" x14ac:dyDescent="0.2">
      <c r="A103" s="26"/>
      <c r="C103" s="8"/>
      <c r="D103" s="8"/>
      <c r="E103" s="8"/>
      <c r="F103" s="8"/>
      <c r="R103" s="20"/>
      <c r="AE103" s="1"/>
    </row>
    <row r="104" spans="1:31" x14ac:dyDescent="0.2">
      <c r="A104" s="26"/>
      <c r="C104" s="8"/>
      <c r="D104" s="8"/>
      <c r="E104" s="8"/>
      <c r="F104" s="8"/>
      <c r="R104" s="20"/>
      <c r="AE104" s="1"/>
    </row>
    <row r="105" spans="1:31" x14ac:dyDescent="0.2">
      <c r="A105" s="26"/>
      <c r="C105" s="8"/>
      <c r="D105" s="8"/>
      <c r="E105" s="8"/>
      <c r="F105" s="8"/>
      <c r="R105" s="20"/>
      <c r="AE105" s="1"/>
    </row>
    <row r="106" spans="1:31" x14ac:dyDescent="0.2">
      <c r="A106" s="26"/>
      <c r="C106" s="8"/>
      <c r="D106" s="8"/>
      <c r="E106" s="8"/>
      <c r="F106" s="8"/>
      <c r="R106" s="20"/>
      <c r="AE106" s="1"/>
    </row>
    <row r="107" spans="1:31" x14ac:dyDescent="0.2">
      <c r="A107" s="26"/>
      <c r="C107" s="8"/>
      <c r="D107" s="8"/>
      <c r="E107" s="8"/>
      <c r="F107" s="8"/>
      <c r="R107" s="20"/>
      <c r="AE107" s="1"/>
    </row>
    <row r="108" spans="1:31" x14ac:dyDescent="0.2">
      <c r="A108" s="26"/>
      <c r="C108" s="8"/>
      <c r="D108" s="8"/>
      <c r="E108" s="8"/>
      <c r="F108" s="8"/>
      <c r="R108" s="20"/>
      <c r="AE108" s="1"/>
    </row>
    <row r="109" spans="1:31" x14ac:dyDescent="0.2">
      <c r="A109" s="26"/>
      <c r="C109" s="8"/>
      <c r="D109" s="8"/>
      <c r="E109" s="8"/>
      <c r="F109" s="8"/>
      <c r="R109" s="20"/>
      <c r="AE109" s="1"/>
    </row>
    <row r="110" spans="1:31" x14ac:dyDescent="0.2">
      <c r="A110" s="26"/>
      <c r="C110" s="8"/>
      <c r="D110" s="8"/>
      <c r="E110" s="8"/>
      <c r="F110" s="8"/>
      <c r="R110" s="20"/>
      <c r="AE110" s="1"/>
    </row>
    <row r="111" spans="1:31" x14ac:dyDescent="0.2">
      <c r="A111" s="26"/>
      <c r="C111" s="8"/>
      <c r="D111" s="8"/>
      <c r="E111" s="8"/>
      <c r="F111" s="8"/>
      <c r="R111" s="20"/>
      <c r="AE111" s="1"/>
    </row>
    <row r="112" spans="1:31" x14ac:dyDescent="0.2">
      <c r="A112" s="26"/>
      <c r="C112" s="8"/>
      <c r="D112" s="8"/>
      <c r="E112" s="8"/>
      <c r="F112" s="8"/>
      <c r="R112" s="20"/>
      <c r="AE112" s="1"/>
    </row>
    <row r="113" spans="1:31" x14ac:dyDescent="0.2">
      <c r="A113" s="26"/>
      <c r="C113" s="8"/>
      <c r="D113" s="8"/>
      <c r="E113" s="8"/>
      <c r="F113" s="8"/>
      <c r="R113" s="20"/>
      <c r="AE113" s="1"/>
    </row>
    <row r="114" spans="1:31" x14ac:dyDescent="0.2">
      <c r="A114" s="26"/>
      <c r="C114" s="8"/>
      <c r="D114" s="8"/>
      <c r="E114" s="8"/>
      <c r="F114" s="8"/>
      <c r="R114" s="20"/>
      <c r="AE114" s="1"/>
    </row>
    <row r="115" spans="1:31" x14ac:dyDescent="0.2">
      <c r="A115" s="26"/>
      <c r="C115" s="8"/>
      <c r="D115" s="8"/>
      <c r="E115" s="8"/>
      <c r="F115" s="8"/>
      <c r="R115" s="20"/>
      <c r="AE115" s="1"/>
    </row>
    <row r="116" spans="1:31" x14ac:dyDescent="0.2">
      <c r="A116" s="26"/>
      <c r="C116" s="8"/>
      <c r="D116" s="8"/>
      <c r="E116" s="8"/>
      <c r="F116" s="8"/>
      <c r="R116" s="20"/>
      <c r="AE116" s="1"/>
    </row>
    <row r="117" spans="1:31" x14ac:dyDescent="0.2">
      <c r="A117" s="26"/>
      <c r="C117" s="8"/>
      <c r="D117" s="8"/>
      <c r="E117" s="8"/>
      <c r="F117" s="8"/>
      <c r="R117" s="20"/>
      <c r="AE117" s="1"/>
    </row>
    <row r="118" spans="1:31" x14ac:dyDescent="0.2">
      <c r="A118" s="26"/>
      <c r="C118" s="8"/>
      <c r="D118" s="8"/>
      <c r="E118" s="8"/>
      <c r="F118" s="8"/>
      <c r="R118" s="20"/>
      <c r="AE118" s="1"/>
    </row>
    <row r="119" spans="1:31" x14ac:dyDescent="0.2">
      <c r="A119" s="26"/>
      <c r="C119" s="8"/>
      <c r="D119" s="8"/>
      <c r="E119" s="8"/>
      <c r="F119" s="8"/>
      <c r="R119" s="20"/>
      <c r="AE119" s="1"/>
    </row>
    <row r="120" spans="1:31" x14ac:dyDescent="0.2">
      <c r="A120" s="26"/>
      <c r="C120" s="8"/>
      <c r="D120" s="8"/>
      <c r="E120" s="8"/>
      <c r="F120" s="8"/>
      <c r="R120" s="20"/>
      <c r="AE120" s="1"/>
    </row>
    <row r="121" spans="1:31" x14ac:dyDescent="0.2">
      <c r="A121" s="26"/>
      <c r="C121" s="8"/>
      <c r="D121" s="8"/>
      <c r="E121" s="8"/>
      <c r="F121" s="8"/>
      <c r="R121" s="20"/>
      <c r="AE121" s="1"/>
    </row>
    <row r="122" spans="1:31" x14ac:dyDescent="0.2">
      <c r="A122" s="26"/>
      <c r="C122" s="8"/>
      <c r="D122" s="8"/>
      <c r="E122" s="8"/>
      <c r="F122" s="8"/>
      <c r="R122" s="20"/>
      <c r="AE122" s="1"/>
    </row>
    <row r="123" spans="1:31" x14ac:dyDescent="0.2">
      <c r="A123" s="26"/>
      <c r="C123" s="8"/>
      <c r="D123" s="8"/>
      <c r="E123" s="8"/>
      <c r="F123" s="8"/>
      <c r="R123" s="20"/>
      <c r="AE123" s="1"/>
    </row>
    <row r="124" spans="1:31" x14ac:dyDescent="0.2">
      <c r="A124" s="26"/>
      <c r="C124" s="8"/>
      <c r="D124" s="8"/>
      <c r="E124" s="8"/>
      <c r="F124" s="8"/>
      <c r="R124" s="20"/>
      <c r="AE124" s="1"/>
    </row>
    <row r="125" spans="1:31" x14ac:dyDescent="0.2">
      <c r="A125" s="26"/>
      <c r="C125" s="8"/>
      <c r="D125" s="8"/>
      <c r="E125" s="8"/>
      <c r="F125" s="8"/>
      <c r="R125" s="20"/>
      <c r="AE125" s="1"/>
    </row>
    <row r="126" spans="1:31" x14ac:dyDescent="0.2">
      <c r="A126" s="26"/>
      <c r="C126" s="8"/>
      <c r="D126" s="8"/>
      <c r="E126" s="8"/>
      <c r="F126" s="8"/>
      <c r="R126" s="20"/>
      <c r="AE126" s="1"/>
    </row>
    <row r="127" spans="1:31" x14ac:dyDescent="0.2">
      <c r="A127" s="26"/>
      <c r="C127" s="8"/>
      <c r="D127" s="8"/>
      <c r="E127" s="8"/>
      <c r="F127" s="8"/>
      <c r="R127" s="20"/>
      <c r="AE127" s="1"/>
    </row>
    <row r="128" spans="1:31" x14ac:dyDescent="0.2">
      <c r="A128" s="26"/>
      <c r="C128" s="8"/>
      <c r="D128" s="8"/>
      <c r="E128" s="8"/>
      <c r="F128" s="8"/>
      <c r="R128" s="20"/>
      <c r="AE128" s="1"/>
    </row>
    <row r="129" spans="1:31" x14ac:dyDescent="0.2">
      <c r="A129" s="26"/>
      <c r="C129" s="8"/>
      <c r="D129" s="8"/>
      <c r="E129" s="8"/>
      <c r="F129" s="8"/>
      <c r="R129" s="20"/>
      <c r="AE129" s="1"/>
    </row>
    <row r="130" spans="1:31" x14ac:dyDescent="0.2">
      <c r="A130" s="26"/>
      <c r="C130" s="8"/>
      <c r="D130" s="8"/>
      <c r="E130" s="8"/>
      <c r="F130" s="8"/>
      <c r="R130" s="20"/>
      <c r="AE130" s="1"/>
    </row>
    <row r="131" spans="1:31" x14ac:dyDescent="0.2">
      <c r="A131" s="26"/>
      <c r="C131" s="8"/>
      <c r="D131" s="8"/>
      <c r="E131" s="8"/>
      <c r="F131" s="8"/>
      <c r="R131" s="20"/>
      <c r="AE131" s="1"/>
    </row>
    <row r="132" spans="1:31" x14ac:dyDescent="0.2">
      <c r="A132" s="26"/>
      <c r="C132" s="8"/>
      <c r="D132" s="8"/>
      <c r="E132" s="8"/>
      <c r="F132" s="8"/>
      <c r="R132" s="20"/>
      <c r="AE132" s="1"/>
    </row>
    <row r="133" spans="1:31" x14ac:dyDescent="0.2">
      <c r="A133" s="26"/>
      <c r="C133" s="8"/>
      <c r="D133" s="8"/>
      <c r="E133" s="8"/>
      <c r="F133" s="8"/>
      <c r="R133" s="20"/>
      <c r="AE133" s="1"/>
    </row>
    <row r="134" spans="1:31" x14ac:dyDescent="0.2">
      <c r="A134" s="26"/>
      <c r="C134" s="8"/>
      <c r="D134" s="8"/>
      <c r="E134" s="8"/>
      <c r="F134" s="8"/>
      <c r="R134" s="20"/>
      <c r="AE134" s="1"/>
    </row>
    <row r="135" spans="1:31" x14ac:dyDescent="0.2">
      <c r="A135" s="26"/>
      <c r="C135" s="8"/>
      <c r="D135" s="8"/>
      <c r="E135" s="8"/>
      <c r="F135" s="8"/>
      <c r="R135" s="20"/>
      <c r="AE135" s="1"/>
    </row>
    <row r="136" spans="1:31" x14ac:dyDescent="0.2">
      <c r="A136" s="26"/>
      <c r="C136" s="8"/>
      <c r="D136" s="8"/>
      <c r="E136" s="8"/>
      <c r="F136" s="8"/>
      <c r="R136" s="20"/>
      <c r="AE136" s="1"/>
    </row>
    <row r="137" spans="1:31" x14ac:dyDescent="0.2">
      <c r="A137" s="26"/>
      <c r="C137" s="8"/>
      <c r="D137" s="8"/>
      <c r="E137" s="8"/>
      <c r="F137" s="8"/>
      <c r="R137" s="20"/>
      <c r="AE137" s="1"/>
    </row>
    <row r="138" spans="1:31" x14ac:dyDescent="0.2">
      <c r="A138" s="26"/>
      <c r="C138" s="8"/>
      <c r="D138" s="8"/>
      <c r="E138" s="8"/>
      <c r="F138" s="8"/>
      <c r="R138" s="20"/>
      <c r="AE138" s="1"/>
    </row>
    <row r="139" spans="1:31" x14ac:dyDescent="0.2">
      <c r="A139" s="26"/>
      <c r="C139" s="8"/>
      <c r="D139" s="8"/>
      <c r="E139" s="8"/>
      <c r="F139" s="8"/>
      <c r="R139" s="20"/>
      <c r="AE139" s="1"/>
    </row>
    <row r="140" spans="1:31" x14ac:dyDescent="0.2">
      <c r="A140" s="26"/>
      <c r="C140" s="8"/>
      <c r="D140" s="8"/>
      <c r="E140" s="8"/>
      <c r="F140" s="8"/>
      <c r="R140" s="20"/>
      <c r="AE140" s="1"/>
    </row>
    <row r="141" spans="1:31" x14ac:dyDescent="0.2">
      <c r="A141" s="26"/>
      <c r="C141" s="8"/>
      <c r="D141" s="8"/>
      <c r="E141" s="8"/>
      <c r="F141" s="8"/>
      <c r="R141" s="20"/>
      <c r="AE141" s="1"/>
    </row>
    <row r="142" spans="1:31" x14ac:dyDescent="0.2">
      <c r="A142" s="26"/>
      <c r="C142" s="8"/>
      <c r="D142" s="8"/>
      <c r="E142" s="8"/>
      <c r="F142" s="8"/>
      <c r="R142" s="20"/>
      <c r="AE142" s="1"/>
    </row>
    <row r="143" spans="1:31" x14ac:dyDescent="0.2">
      <c r="A143" s="26"/>
      <c r="C143" s="8"/>
      <c r="D143" s="8"/>
      <c r="E143" s="8"/>
      <c r="F143" s="8"/>
      <c r="R143" s="20"/>
      <c r="AE143" s="1"/>
    </row>
    <row r="144" spans="1:31" x14ac:dyDescent="0.2">
      <c r="A144" s="26"/>
      <c r="C144" s="8"/>
      <c r="D144" s="8"/>
      <c r="E144" s="8"/>
      <c r="F144" s="8"/>
      <c r="R144" s="20"/>
      <c r="AE144" s="1"/>
    </row>
    <row r="145" spans="1:31" x14ac:dyDescent="0.2">
      <c r="A145" s="26"/>
      <c r="C145" s="8"/>
      <c r="D145" s="8"/>
      <c r="E145" s="8"/>
      <c r="F145" s="8"/>
      <c r="R145" s="20"/>
      <c r="AE145" s="1"/>
    </row>
    <row r="146" spans="1:31" x14ac:dyDescent="0.2">
      <c r="A146" s="26"/>
      <c r="C146" s="8"/>
      <c r="D146" s="8"/>
      <c r="E146" s="8"/>
      <c r="F146" s="8"/>
      <c r="R146" s="20"/>
      <c r="AE146" s="1"/>
    </row>
    <row r="147" spans="1:31" x14ac:dyDescent="0.2">
      <c r="A147" s="26"/>
      <c r="C147" s="8"/>
      <c r="D147" s="8"/>
      <c r="E147" s="8"/>
      <c r="F147" s="8"/>
      <c r="R147" s="20"/>
      <c r="AE147" s="1"/>
    </row>
    <row r="148" spans="1:31" x14ac:dyDescent="0.2">
      <c r="A148" s="26"/>
      <c r="C148" s="8"/>
      <c r="D148" s="8"/>
      <c r="E148" s="8"/>
      <c r="F148" s="8"/>
      <c r="R148" s="20"/>
      <c r="AE148" s="1"/>
    </row>
    <row r="149" spans="1:31" x14ac:dyDescent="0.2">
      <c r="A149" s="26"/>
      <c r="C149" s="8"/>
      <c r="D149" s="8"/>
      <c r="E149" s="8"/>
      <c r="F149" s="8"/>
      <c r="R149" s="20"/>
      <c r="AE149" s="1"/>
    </row>
    <row r="150" spans="1:31" x14ac:dyDescent="0.2">
      <c r="A150" s="26"/>
      <c r="C150" s="8"/>
      <c r="D150" s="8"/>
      <c r="E150" s="8"/>
      <c r="F150" s="8"/>
      <c r="R150" s="20"/>
      <c r="AE150" s="1"/>
    </row>
    <row r="151" spans="1:31" x14ac:dyDescent="0.2">
      <c r="A151" s="26"/>
      <c r="C151" s="8"/>
      <c r="D151" s="8"/>
      <c r="E151" s="8"/>
      <c r="F151" s="8"/>
      <c r="R151" s="20"/>
      <c r="AE151" s="1"/>
    </row>
    <row r="152" spans="1:31" x14ac:dyDescent="0.2">
      <c r="A152" s="26"/>
      <c r="C152" s="8"/>
      <c r="D152" s="8"/>
      <c r="E152" s="8"/>
      <c r="F152" s="8"/>
      <c r="R152" s="20"/>
      <c r="AE152" s="1"/>
    </row>
    <row r="153" spans="1:31" x14ac:dyDescent="0.2">
      <c r="A153" s="26"/>
      <c r="C153" s="8"/>
      <c r="D153" s="8"/>
      <c r="E153" s="8"/>
      <c r="F153" s="8"/>
      <c r="R153" s="20"/>
      <c r="AE153" s="1"/>
    </row>
    <row r="154" spans="1:31" x14ac:dyDescent="0.2">
      <c r="A154" s="26"/>
      <c r="C154" s="8"/>
      <c r="D154" s="8"/>
      <c r="E154" s="8"/>
      <c r="F154" s="8"/>
      <c r="R154" s="20"/>
      <c r="AE154" s="1"/>
    </row>
    <row r="155" spans="1:31" x14ac:dyDescent="0.2">
      <c r="A155" s="26"/>
      <c r="C155" s="8"/>
      <c r="D155" s="8"/>
      <c r="E155" s="8"/>
      <c r="F155" s="8"/>
      <c r="R155" s="20"/>
      <c r="AE155" s="1"/>
    </row>
    <row r="156" spans="1:31" x14ac:dyDescent="0.2">
      <c r="A156" s="26"/>
      <c r="C156" s="8"/>
      <c r="D156" s="8"/>
      <c r="E156" s="8"/>
      <c r="F156" s="8"/>
      <c r="R156" s="20"/>
      <c r="AE156" s="1"/>
    </row>
    <row r="157" spans="1:31" x14ac:dyDescent="0.2">
      <c r="A157" s="26"/>
      <c r="C157" s="8"/>
      <c r="D157" s="8"/>
      <c r="E157" s="8"/>
      <c r="F157" s="8"/>
      <c r="R157" s="20"/>
      <c r="AE157" s="1"/>
    </row>
    <row r="158" spans="1:31" x14ac:dyDescent="0.2">
      <c r="A158" s="26"/>
      <c r="C158" s="8"/>
      <c r="D158" s="8"/>
      <c r="E158" s="8"/>
      <c r="F158" s="8"/>
      <c r="R158" s="20"/>
      <c r="AE158" s="1"/>
    </row>
    <row r="159" spans="1:31" x14ac:dyDescent="0.2">
      <c r="A159" s="26"/>
      <c r="C159" s="8"/>
      <c r="D159" s="8"/>
      <c r="E159" s="8"/>
      <c r="F159" s="8"/>
      <c r="R159" s="20"/>
      <c r="AE159" s="1"/>
    </row>
    <row r="160" spans="1:31" x14ac:dyDescent="0.2">
      <c r="A160" s="26"/>
      <c r="C160" s="8"/>
      <c r="D160" s="8"/>
      <c r="E160" s="8"/>
      <c r="F160" s="8"/>
      <c r="R160" s="20"/>
      <c r="AE160" s="1"/>
    </row>
    <row r="161" spans="1:31" x14ac:dyDescent="0.2">
      <c r="A161" s="26"/>
      <c r="C161" s="8"/>
      <c r="D161" s="8"/>
      <c r="E161" s="8"/>
      <c r="F161" s="8"/>
      <c r="R161" s="20"/>
      <c r="AE161" s="1"/>
    </row>
    <row r="162" spans="1:31" x14ac:dyDescent="0.2">
      <c r="A162" s="26"/>
      <c r="C162" s="8"/>
      <c r="D162" s="8"/>
      <c r="E162" s="8"/>
      <c r="F162" s="8"/>
      <c r="R162" s="20"/>
      <c r="AE162" s="1"/>
    </row>
    <row r="163" spans="1:31" x14ac:dyDescent="0.2">
      <c r="A163" s="26"/>
      <c r="C163" s="8"/>
      <c r="D163" s="8"/>
      <c r="E163" s="8"/>
      <c r="F163" s="8"/>
      <c r="R163" s="20"/>
      <c r="AE163" s="1"/>
    </row>
    <row r="164" spans="1:31" x14ac:dyDescent="0.2">
      <c r="A164" s="26"/>
      <c r="C164" s="8"/>
      <c r="D164" s="8"/>
      <c r="E164" s="8"/>
      <c r="F164" s="8"/>
      <c r="R164" s="20"/>
      <c r="AE164" s="1"/>
    </row>
    <row r="165" spans="1:31" x14ac:dyDescent="0.2">
      <c r="A165" s="26"/>
      <c r="C165" s="8"/>
      <c r="D165" s="8"/>
      <c r="E165" s="8"/>
      <c r="F165" s="8"/>
      <c r="R165" s="20"/>
      <c r="AE165" s="1"/>
    </row>
    <row r="166" spans="1:31" x14ac:dyDescent="0.2">
      <c r="A166" s="26"/>
      <c r="C166" s="8"/>
      <c r="D166" s="8"/>
      <c r="E166" s="8"/>
      <c r="F166" s="8"/>
      <c r="R166" s="20"/>
      <c r="AE166" s="1"/>
    </row>
    <row r="167" spans="1:31" x14ac:dyDescent="0.2">
      <c r="A167" s="26"/>
      <c r="C167" s="8"/>
      <c r="D167" s="8"/>
      <c r="E167" s="8"/>
      <c r="F167" s="8"/>
      <c r="R167" s="20"/>
      <c r="AE167" s="1"/>
    </row>
    <row r="168" spans="1:31" x14ac:dyDescent="0.2">
      <c r="A168" s="26"/>
      <c r="C168" s="8"/>
      <c r="D168" s="8"/>
      <c r="E168" s="8"/>
      <c r="F168" s="8"/>
      <c r="R168" s="20"/>
      <c r="AE168" s="1"/>
    </row>
    <row r="169" spans="1:31" x14ac:dyDescent="0.2">
      <c r="A169" s="26"/>
      <c r="C169" s="8"/>
      <c r="D169" s="8"/>
      <c r="E169" s="8"/>
      <c r="F169" s="8"/>
      <c r="R169" s="20"/>
      <c r="AE169" s="1"/>
    </row>
    <row r="170" spans="1:31" x14ac:dyDescent="0.2">
      <c r="A170" s="26"/>
      <c r="C170" s="8"/>
      <c r="D170" s="8"/>
      <c r="E170" s="8"/>
      <c r="F170" s="8"/>
      <c r="R170" s="20"/>
      <c r="AE170" s="1"/>
    </row>
    <row r="171" spans="1:31" x14ac:dyDescent="0.2">
      <c r="A171" s="26"/>
      <c r="C171" s="8"/>
      <c r="D171" s="8"/>
      <c r="E171" s="8"/>
      <c r="F171" s="8"/>
      <c r="R171" s="20"/>
      <c r="AE171" s="1"/>
    </row>
    <row r="172" spans="1:31" x14ac:dyDescent="0.2">
      <c r="A172" s="26"/>
      <c r="C172" s="8"/>
      <c r="D172" s="8"/>
      <c r="E172" s="8"/>
      <c r="F172" s="8"/>
      <c r="R172" s="20"/>
      <c r="AE172" s="1"/>
    </row>
    <row r="173" spans="1:31" x14ac:dyDescent="0.2">
      <c r="A173" s="26"/>
      <c r="C173" s="8"/>
      <c r="D173" s="8"/>
      <c r="E173" s="8"/>
      <c r="F173" s="8"/>
      <c r="R173" s="20"/>
      <c r="AE173" s="1"/>
    </row>
    <row r="174" spans="1:31" x14ac:dyDescent="0.2">
      <c r="A174" s="26"/>
      <c r="C174" s="8"/>
      <c r="D174" s="8"/>
      <c r="E174" s="8"/>
      <c r="F174" s="8"/>
      <c r="R174" s="20"/>
      <c r="AE174" s="1"/>
    </row>
    <row r="175" spans="1:31" x14ac:dyDescent="0.2">
      <c r="A175" s="26"/>
      <c r="C175" s="8"/>
      <c r="D175" s="8"/>
      <c r="E175" s="8"/>
      <c r="F175" s="8"/>
      <c r="R175" s="20"/>
      <c r="AE175" s="1"/>
    </row>
    <row r="176" spans="1:31" x14ac:dyDescent="0.2">
      <c r="A176" s="26"/>
      <c r="C176" s="8"/>
      <c r="D176" s="8"/>
      <c r="E176" s="8"/>
      <c r="F176" s="8"/>
      <c r="R176" s="20"/>
      <c r="AE176" s="1"/>
    </row>
    <row r="177" spans="1:31" x14ac:dyDescent="0.2">
      <c r="A177" s="26"/>
      <c r="C177" s="8"/>
      <c r="D177" s="8"/>
      <c r="E177" s="8"/>
      <c r="F177" s="8"/>
      <c r="R177" s="20"/>
      <c r="AE177" s="1"/>
    </row>
    <row r="178" spans="1:31" x14ac:dyDescent="0.2">
      <c r="A178" s="26"/>
      <c r="C178" s="8"/>
      <c r="D178" s="8"/>
      <c r="E178" s="8"/>
      <c r="F178" s="8"/>
      <c r="R178" s="20"/>
      <c r="AE178" s="1"/>
    </row>
    <row r="179" spans="1:31" x14ac:dyDescent="0.2">
      <c r="A179" s="26"/>
      <c r="C179" s="8"/>
      <c r="D179" s="8"/>
      <c r="E179" s="8"/>
      <c r="F179" s="8"/>
      <c r="R179" s="20"/>
      <c r="AE179" s="1"/>
    </row>
    <row r="180" spans="1:31" x14ac:dyDescent="0.2">
      <c r="A180" s="26"/>
      <c r="C180" s="8"/>
      <c r="D180" s="8"/>
      <c r="E180" s="8"/>
      <c r="F180" s="8"/>
      <c r="R180" s="20"/>
      <c r="AE180" s="1"/>
    </row>
    <row r="181" spans="1:31" x14ac:dyDescent="0.2">
      <c r="A181" s="26"/>
      <c r="C181" s="8"/>
      <c r="D181" s="8"/>
      <c r="E181" s="8"/>
      <c r="F181" s="8"/>
      <c r="R181" s="20"/>
      <c r="AE181" s="1"/>
    </row>
    <row r="182" spans="1:31" x14ac:dyDescent="0.2">
      <c r="A182" s="26"/>
      <c r="C182" s="8"/>
      <c r="D182" s="8"/>
      <c r="E182" s="8"/>
      <c r="F182" s="8"/>
      <c r="R182" s="20"/>
      <c r="AE182" s="1"/>
    </row>
    <row r="183" spans="1:31" x14ac:dyDescent="0.2">
      <c r="A183" s="26"/>
      <c r="C183" s="8"/>
      <c r="D183" s="8"/>
      <c r="E183" s="8"/>
      <c r="F183" s="8"/>
      <c r="R183" s="20"/>
      <c r="AE183" s="1"/>
    </row>
    <row r="184" spans="1:31" x14ac:dyDescent="0.2">
      <c r="A184" s="26"/>
      <c r="C184" s="8"/>
      <c r="D184" s="8"/>
      <c r="E184" s="8"/>
      <c r="F184" s="8"/>
      <c r="R184" s="20"/>
      <c r="AE184" s="1"/>
    </row>
    <row r="185" spans="1:31" x14ac:dyDescent="0.2">
      <c r="A185" s="26"/>
      <c r="C185" s="8"/>
      <c r="D185" s="8"/>
      <c r="E185" s="8"/>
      <c r="F185" s="8"/>
      <c r="R185" s="20"/>
      <c r="AE185" s="1"/>
    </row>
    <row r="186" spans="1:31" x14ac:dyDescent="0.2">
      <c r="A186" s="26"/>
      <c r="C186" s="8"/>
      <c r="D186" s="8"/>
      <c r="E186" s="8"/>
      <c r="F186" s="8"/>
      <c r="R186" s="20"/>
      <c r="AE186" s="1"/>
    </row>
    <row r="187" spans="1:31" x14ac:dyDescent="0.2">
      <c r="A187" s="26"/>
      <c r="C187" s="8"/>
      <c r="D187" s="8"/>
      <c r="E187" s="8"/>
      <c r="F187" s="8"/>
      <c r="R187" s="20"/>
      <c r="AE187" s="1"/>
    </row>
    <row r="188" spans="1:31" x14ac:dyDescent="0.2">
      <c r="A188" s="26"/>
      <c r="C188" s="8"/>
      <c r="D188" s="8"/>
      <c r="E188" s="8"/>
      <c r="F188" s="8"/>
      <c r="R188" s="20"/>
      <c r="AE188" s="1"/>
    </row>
    <row r="189" spans="1:31" x14ac:dyDescent="0.2">
      <c r="A189" s="26"/>
      <c r="C189" s="8"/>
      <c r="D189" s="8"/>
      <c r="E189" s="8"/>
      <c r="F189" s="8"/>
      <c r="R189" s="20"/>
      <c r="AE189" s="1"/>
    </row>
    <row r="190" spans="1:31" x14ac:dyDescent="0.2">
      <c r="A190" s="26"/>
      <c r="C190" s="8"/>
      <c r="D190" s="8"/>
      <c r="E190" s="8"/>
      <c r="F190" s="8"/>
      <c r="R190" s="20"/>
      <c r="AE190" s="1"/>
    </row>
    <row r="191" spans="1:31" x14ac:dyDescent="0.2">
      <c r="A191" s="26"/>
      <c r="C191" s="8"/>
      <c r="D191" s="8"/>
      <c r="E191" s="8"/>
      <c r="F191" s="8"/>
      <c r="R191" s="20"/>
      <c r="AE191" s="1"/>
    </row>
    <row r="192" spans="1:31" x14ac:dyDescent="0.2">
      <c r="A192" s="26"/>
      <c r="C192" s="8"/>
      <c r="D192" s="8"/>
      <c r="E192" s="8"/>
      <c r="F192" s="8"/>
      <c r="R192" s="20"/>
      <c r="AE192" s="1"/>
    </row>
    <row r="193" spans="1:31" x14ac:dyDescent="0.2">
      <c r="A193" s="26"/>
      <c r="C193" s="8"/>
      <c r="D193" s="8"/>
      <c r="E193" s="8"/>
      <c r="F193" s="8"/>
      <c r="R193" s="20"/>
      <c r="AE193" s="1"/>
    </row>
    <row r="194" spans="1:31" x14ac:dyDescent="0.2">
      <c r="A194" s="26"/>
      <c r="C194" s="8"/>
      <c r="D194" s="8"/>
      <c r="E194" s="8"/>
      <c r="F194" s="8"/>
      <c r="R194" s="20"/>
      <c r="AE194" s="1"/>
    </row>
    <row r="195" spans="1:31" x14ac:dyDescent="0.2">
      <c r="A195" s="26"/>
      <c r="C195" s="8"/>
      <c r="D195" s="8"/>
      <c r="E195" s="8"/>
      <c r="F195" s="8"/>
      <c r="R195" s="20"/>
      <c r="AE195" s="1"/>
    </row>
    <row r="196" spans="1:31" x14ac:dyDescent="0.2">
      <c r="A196" s="26"/>
      <c r="C196" s="8"/>
      <c r="D196" s="8"/>
      <c r="E196" s="8"/>
      <c r="F196" s="8"/>
      <c r="R196" s="20"/>
      <c r="AE196" s="1"/>
    </row>
    <row r="197" spans="1:31" x14ac:dyDescent="0.2">
      <c r="A197" s="26"/>
      <c r="C197" s="8"/>
      <c r="D197" s="8"/>
      <c r="E197" s="8"/>
      <c r="F197" s="8"/>
      <c r="R197" s="20"/>
      <c r="AE197" s="1"/>
    </row>
    <row r="198" spans="1:31" x14ac:dyDescent="0.2">
      <c r="A198" s="26"/>
      <c r="C198" s="8"/>
      <c r="D198" s="8"/>
      <c r="E198" s="8"/>
      <c r="F198" s="8"/>
      <c r="R198" s="20"/>
      <c r="AE198" s="1"/>
    </row>
    <row r="199" spans="1:31" x14ac:dyDescent="0.2">
      <c r="A199" s="26"/>
      <c r="C199" s="8"/>
      <c r="D199" s="8"/>
      <c r="E199" s="8"/>
      <c r="F199" s="8"/>
      <c r="R199" s="20"/>
      <c r="AE199" s="1"/>
    </row>
    <row r="200" spans="1:31" x14ac:dyDescent="0.2">
      <c r="A200" s="26"/>
      <c r="C200" s="8"/>
      <c r="D200" s="8"/>
      <c r="E200" s="8"/>
      <c r="F200" s="8"/>
      <c r="R200" s="20"/>
      <c r="AE200" s="1"/>
    </row>
    <row r="201" spans="1:31" x14ac:dyDescent="0.2">
      <c r="A201" s="26"/>
      <c r="C201" s="8"/>
      <c r="D201" s="8"/>
      <c r="E201" s="8"/>
      <c r="F201" s="8"/>
      <c r="R201" s="20"/>
      <c r="AE201" s="1"/>
    </row>
    <row r="202" spans="1:31" x14ac:dyDescent="0.2">
      <c r="A202" s="26"/>
      <c r="C202" s="8"/>
      <c r="D202" s="8"/>
      <c r="E202" s="8"/>
      <c r="F202" s="8"/>
      <c r="R202" s="20"/>
      <c r="AE202" s="1"/>
    </row>
    <row r="203" spans="1:31" x14ac:dyDescent="0.2">
      <c r="A203" s="26"/>
      <c r="C203" s="8"/>
      <c r="D203" s="8"/>
      <c r="E203" s="8"/>
      <c r="F203" s="8"/>
      <c r="R203" s="20"/>
      <c r="AE203" s="1"/>
    </row>
    <row r="204" spans="1:31" x14ac:dyDescent="0.2">
      <c r="A204" s="26"/>
      <c r="C204" s="8"/>
      <c r="D204" s="8"/>
      <c r="E204" s="8"/>
      <c r="F204" s="8"/>
      <c r="R204" s="20"/>
      <c r="AE204" s="1"/>
    </row>
    <row r="205" spans="1:31" x14ac:dyDescent="0.2">
      <c r="A205" s="26"/>
      <c r="C205" s="8"/>
      <c r="D205" s="8"/>
      <c r="E205" s="8"/>
      <c r="F205" s="8"/>
      <c r="R205" s="20"/>
      <c r="AE205" s="1"/>
    </row>
    <row r="206" spans="1:31" x14ac:dyDescent="0.2">
      <c r="A206" s="26"/>
      <c r="C206" s="8"/>
      <c r="D206" s="8"/>
      <c r="E206" s="8"/>
      <c r="F206" s="8"/>
      <c r="R206" s="20"/>
      <c r="AE206" s="1"/>
    </row>
    <row r="207" spans="1:31" x14ac:dyDescent="0.2">
      <c r="A207" s="26"/>
      <c r="C207" s="8"/>
      <c r="D207" s="8"/>
      <c r="E207" s="8"/>
      <c r="F207" s="8"/>
      <c r="R207" s="20"/>
      <c r="AE207" s="1"/>
    </row>
    <row r="208" spans="1:31" x14ac:dyDescent="0.2">
      <c r="A208" s="26"/>
      <c r="C208" s="8"/>
      <c r="D208" s="8"/>
      <c r="E208" s="8"/>
      <c r="F208" s="8"/>
      <c r="R208" s="20"/>
      <c r="AE208" s="1"/>
    </row>
    <row r="209" spans="1:31" x14ac:dyDescent="0.2">
      <c r="A209" s="26"/>
      <c r="C209" s="8"/>
      <c r="D209" s="8"/>
      <c r="E209" s="8"/>
      <c r="F209" s="8"/>
      <c r="R209" s="20"/>
      <c r="AE209" s="1"/>
    </row>
    <row r="210" spans="1:31" x14ac:dyDescent="0.2">
      <c r="A210" s="26"/>
      <c r="C210" s="8"/>
      <c r="D210" s="8"/>
      <c r="E210" s="8"/>
      <c r="F210" s="8"/>
      <c r="R210" s="20"/>
      <c r="AE210" s="1"/>
    </row>
    <row r="211" spans="1:31" x14ac:dyDescent="0.2">
      <c r="A211" s="26"/>
      <c r="C211" s="8"/>
      <c r="D211" s="8"/>
      <c r="E211" s="8"/>
      <c r="F211" s="8"/>
      <c r="R211" s="20"/>
      <c r="AE211" s="1"/>
    </row>
    <row r="212" spans="1:31" x14ac:dyDescent="0.2">
      <c r="A212" s="26"/>
      <c r="C212" s="8"/>
      <c r="D212" s="8"/>
      <c r="E212" s="8"/>
      <c r="F212" s="8"/>
      <c r="R212" s="20"/>
      <c r="AE212" s="1"/>
    </row>
    <row r="213" spans="1:31" x14ac:dyDescent="0.2">
      <c r="A213" s="26"/>
      <c r="C213" s="8"/>
      <c r="D213" s="8"/>
      <c r="E213" s="8"/>
      <c r="F213" s="8"/>
      <c r="R213" s="20"/>
      <c r="AE213" s="1"/>
    </row>
    <row r="214" spans="1:31" x14ac:dyDescent="0.2">
      <c r="A214" s="26"/>
      <c r="C214" s="8"/>
      <c r="D214" s="8"/>
      <c r="E214" s="8"/>
      <c r="F214" s="8"/>
      <c r="R214" s="20"/>
      <c r="AE214" s="1"/>
    </row>
    <row r="215" spans="1:31" x14ac:dyDescent="0.2">
      <c r="A215" s="26"/>
      <c r="C215" s="8"/>
      <c r="D215" s="8"/>
      <c r="E215" s="8"/>
      <c r="F215" s="8"/>
      <c r="R215" s="20"/>
      <c r="AE215" s="1"/>
    </row>
    <row r="216" spans="1:31" x14ac:dyDescent="0.2">
      <c r="A216" s="26"/>
      <c r="C216" s="8"/>
      <c r="D216" s="8"/>
      <c r="E216" s="8"/>
      <c r="F216" s="8"/>
      <c r="R216" s="20"/>
      <c r="AE216" s="1"/>
    </row>
    <row r="217" spans="1:31" x14ac:dyDescent="0.2">
      <c r="A217" s="26"/>
      <c r="C217" s="8"/>
      <c r="D217" s="8"/>
      <c r="E217" s="8"/>
      <c r="F217" s="8"/>
      <c r="R217" s="20"/>
      <c r="AE217" s="1"/>
    </row>
    <row r="218" spans="1:31" x14ac:dyDescent="0.2">
      <c r="A218" s="26"/>
      <c r="C218" s="8"/>
      <c r="D218" s="8"/>
      <c r="E218" s="8"/>
      <c r="F218" s="8"/>
      <c r="R218" s="20"/>
      <c r="AE218" s="1"/>
    </row>
    <row r="219" spans="1:31" x14ac:dyDescent="0.2">
      <c r="A219" s="26"/>
      <c r="C219" s="8"/>
      <c r="D219" s="8"/>
      <c r="E219" s="8"/>
      <c r="F219" s="8"/>
      <c r="R219" s="20"/>
      <c r="AE219" s="1"/>
    </row>
    <row r="220" spans="1:31" x14ac:dyDescent="0.2">
      <c r="A220" s="26"/>
      <c r="C220" s="8"/>
      <c r="D220" s="8"/>
      <c r="E220" s="8"/>
      <c r="F220" s="8"/>
      <c r="R220" s="20"/>
      <c r="AE220" s="1"/>
    </row>
    <row r="221" spans="1:31" x14ac:dyDescent="0.2">
      <c r="A221" s="26"/>
      <c r="C221" s="8"/>
      <c r="D221" s="8"/>
      <c r="E221" s="8"/>
      <c r="F221" s="8"/>
      <c r="R221" s="20"/>
      <c r="AE221" s="1"/>
    </row>
    <row r="222" spans="1:31" x14ac:dyDescent="0.2">
      <c r="A222" s="26"/>
      <c r="C222" s="8"/>
      <c r="D222" s="8"/>
      <c r="E222" s="8"/>
      <c r="F222" s="8"/>
      <c r="R222" s="20"/>
      <c r="AE222" s="1"/>
    </row>
    <row r="223" spans="1:31" x14ac:dyDescent="0.2">
      <c r="A223" s="26"/>
      <c r="C223" s="8"/>
      <c r="D223" s="8"/>
      <c r="E223" s="8"/>
      <c r="F223" s="8"/>
      <c r="R223" s="20"/>
      <c r="AE223" s="1"/>
    </row>
    <row r="224" spans="1:31" x14ac:dyDescent="0.2">
      <c r="A224" s="26"/>
      <c r="C224" s="8"/>
      <c r="D224" s="8"/>
      <c r="E224" s="8"/>
      <c r="F224" s="8"/>
      <c r="R224" s="20"/>
      <c r="AE224" s="1"/>
    </row>
    <row r="225" spans="1:31" x14ac:dyDescent="0.2">
      <c r="A225" s="26"/>
      <c r="C225" s="8"/>
      <c r="D225" s="8"/>
      <c r="E225" s="8"/>
      <c r="F225" s="8"/>
      <c r="R225" s="20"/>
      <c r="AE225" s="1"/>
    </row>
    <row r="226" spans="1:31" x14ac:dyDescent="0.2">
      <c r="A226" s="26"/>
      <c r="C226" s="8"/>
      <c r="D226" s="8"/>
      <c r="E226" s="8"/>
      <c r="F226" s="8"/>
      <c r="R226" s="20"/>
      <c r="AE226" s="1"/>
    </row>
    <row r="227" spans="1:31" x14ac:dyDescent="0.2">
      <c r="A227" s="26"/>
      <c r="C227" s="8"/>
      <c r="D227" s="8"/>
      <c r="E227" s="8"/>
      <c r="F227" s="8"/>
      <c r="R227" s="20"/>
      <c r="AE227" s="1"/>
    </row>
    <row r="228" spans="1:31" x14ac:dyDescent="0.2">
      <c r="A228" s="26"/>
      <c r="C228" s="8"/>
      <c r="D228" s="8"/>
      <c r="E228" s="8"/>
      <c r="F228" s="8"/>
      <c r="R228" s="20"/>
      <c r="AE228" s="1"/>
    </row>
    <row r="229" spans="1:31" x14ac:dyDescent="0.2">
      <c r="A229" s="26"/>
      <c r="C229" s="8"/>
      <c r="D229" s="8"/>
      <c r="E229" s="8"/>
      <c r="F229" s="8"/>
      <c r="R229" s="20"/>
      <c r="AE229" s="1"/>
    </row>
    <row r="230" spans="1:31" x14ac:dyDescent="0.2">
      <c r="A230" s="26"/>
      <c r="C230" s="8"/>
      <c r="D230" s="8"/>
      <c r="E230" s="8"/>
      <c r="F230" s="8"/>
      <c r="R230" s="20"/>
      <c r="AE230" s="1"/>
    </row>
    <row r="231" spans="1:31" x14ac:dyDescent="0.2">
      <c r="A231" s="26"/>
      <c r="C231" s="8"/>
      <c r="D231" s="8"/>
      <c r="E231" s="8"/>
      <c r="F231" s="8"/>
      <c r="R231" s="20"/>
      <c r="AE231" s="1"/>
    </row>
    <row r="232" spans="1:31" x14ac:dyDescent="0.2">
      <c r="A232" s="26"/>
      <c r="C232" s="8"/>
      <c r="D232" s="8"/>
      <c r="E232" s="8"/>
      <c r="F232" s="8"/>
      <c r="R232" s="20"/>
      <c r="AE232" s="1"/>
    </row>
    <row r="233" spans="1:31" x14ac:dyDescent="0.2">
      <c r="A233" s="26"/>
      <c r="C233" s="8"/>
      <c r="D233" s="8"/>
      <c r="E233" s="8"/>
      <c r="F233" s="8"/>
      <c r="R233" s="20"/>
      <c r="AE233" s="1"/>
    </row>
    <row r="234" spans="1:31" x14ac:dyDescent="0.2">
      <c r="A234" s="26"/>
      <c r="C234" s="8"/>
      <c r="D234" s="8"/>
      <c r="E234" s="8"/>
      <c r="F234" s="8"/>
      <c r="R234" s="20"/>
      <c r="AE234" s="1"/>
    </row>
    <row r="235" spans="1:31" x14ac:dyDescent="0.2">
      <c r="A235" s="26"/>
      <c r="C235" s="8"/>
      <c r="D235" s="8"/>
      <c r="E235" s="8"/>
      <c r="F235" s="8"/>
      <c r="R235" s="20"/>
      <c r="AE235" s="1"/>
    </row>
    <row r="236" spans="1:31" x14ac:dyDescent="0.2">
      <c r="A236" s="26"/>
      <c r="C236" s="8"/>
      <c r="D236" s="8"/>
      <c r="E236" s="8"/>
      <c r="F236" s="8"/>
      <c r="R236" s="20"/>
      <c r="AE236" s="1"/>
    </row>
    <row r="237" spans="1:31" x14ac:dyDescent="0.2">
      <c r="A237" s="26"/>
      <c r="C237" s="8"/>
      <c r="D237" s="8"/>
      <c r="E237" s="8"/>
      <c r="F237" s="8"/>
      <c r="R237" s="20"/>
      <c r="AE237" s="1"/>
    </row>
    <row r="238" spans="1:31" x14ac:dyDescent="0.2">
      <c r="A238" s="26"/>
      <c r="C238" s="8"/>
      <c r="D238" s="8"/>
      <c r="E238" s="8"/>
      <c r="F238" s="8"/>
      <c r="R238" s="20"/>
      <c r="AE238" s="1"/>
    </row>
    <row r="239" spans="1:31" x14ac:dyDescent="0.2">
      <c r="A239" s="26"/>
      <c r="C239" s="8"/>
      <c r="D239" s="8"/>
      <c r="E239" s="8"/>
      <c r="F239" s="8"/>
      <c r="R239" s="20"/>
      <c r="AE239" s="1"/>
    </row>
    <row r="240" spans="1:31" x14ac:dyDescent="0.2">
      <c r="A240" s="26"/>
      <c r="C240" s="8"/>
      <c r="D240" s="8"/>
      <c r="E240" s="8"/>
      <c r="F240" s="8"/>
      <c r="R240" s="20"/>
      <c r="AE240" s="1"/>
    </row>
    <row r="241" spans="1:31" x14ac:dyDescent="0.2">
      <c r="A241" s="26"/>
      <c r="C241" s="8"/>
      <c r="D241" s="8"/>
      <c r="E241" s="8"/>
      <c r="F241" s="8"/>
      <c r="R241" s="20"/>
      <c r="AE241" s="1"/>
    </row>
    <row r="242" spans="1:31" x14ac:dyDescent="0.2">
      <c r="A242" s="26"/>
      <c r="C242" s="8"/>
      <c r="D242" s="8"/>
      <c r="E242" s="8"/>
      <c r="F242" s="8"/>
      <c r="R242" s="20"/>
      <c r="AE242" s="1"/>
    </row>
    <row r="243" spans="1:31" x14ac:dyDescent="0.2">
      <c r="A243" s="26"/>
      <c r="C243" s="8"/>
      <c r="D243" s="8"/>
      <c r="E243" s="8"/>
      <c r="F243" s="8"/>
      <c r="R243" s="20"/>
      <c r="AE243" s="1"/>
    </row>
    <row r="244" spans="1:31" x14ac:dyDescent="0.2">
      <c r="A244" s="26"/>
      <c r="C244" s="8"/>
      <c r="D244" s="8"/>
      <c r="E244" s="8"/>
      <c r="F244" s="8"/>
      <c r="R244" s="20"/>
      <c r="AE244" s="1"/>
    </row>
    <row r="245" spans="1:31" x14ac:dyDescent="0.2">
      <c r="A245" s="26"/>
      <c r="C245" s="8"/>
      <c r="D245" s="8"/>
      <c r="E245" s="8"/>
      <c r="F245" s="8"/>
      <c r="R245" s="20"/>
      <c r="AE245" s="1"/>
    </row>
    <row r="246" spans="1:31" x14ac:dyDescent="0.2">
      <c r="A246" s="26"/>
      <c r="C246" s="8"/>
      <c r="D246" s="8"/>
      <c r="E246" s="8"/>
      <c r="F246" s="8"/>
      <c r="R246" s="20"/>
      <c r="AE246" s="1"/>
    </row>
    <row r="247" spans="1:31" x14ac:dyDescent="0.2">
      <c r="A247" s="26"/>
      <c r="C247" s="8"/>
      <c r="D247" s="8"/>
      <c r="E247" s="8"/>
      <c r="F247" s="8"/>
      <c r="R247" s="20"/>
      <c r="AE247" s="1"/>
    </row>
    <row r="248" spans="1:31" x14ac:dyDescent="0.2">
      <c r="A248" s="26"/>
      <c r="C248" s="8"/>
      <c r="D248" s="8"/>
      <c r="E248" s="8"/>
      <c r="F248" s="8"/>
      <c r="R248" s="20"/>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0dfe9a-aae4-4027-b444-64fd46c9d1f7">
      <UserInfo>
        <DisplayName>Cheng, Becky</DisplayName>
        <AccountId>1969</AccountId>
        <AccountType/>
      </UserInfo>
    </SharedWithUsers>
    <l756e2459ba34607bbfa5e6df521435b xmlns="cc0dfe9a-aae4-4027-b444-64fd46c9d1f7">
      <Terms xmlns="http://schemas.microsoft.com/office/infopath/2007/PartnerControls">
        <TermInfo xmlns="http://schemas.microsoft.com/office/infopath/2007/PartnerControls">
          <TermName xmlns="http://schemas.microsoft.com/office/infopath/2007/PartnerControls">G.6.1.0 Communications/Public Relations</TermName>
          <TermId xmlns="http://schemas.microsoft.com/office/infopath/2007/PartnerControls">d21af87d-c96b-468f-ac0c-baea69ed7a31</TermId>
        </TermInfo>
      </Terms>
    </l756e2459ba34607bbfa5e6df521435b>
    <ge307b9e94f944cc8ba3effeb9348ac6 xmlns="cc0dfe9a-aae4-4027-b444-64fd46c9d1f7">
      <Terms xmlns="http://schemas.microsoft.com/office/infopath/2007/PartnerControls">
        <TermInfo xmlns="http://schemas.microsoft.com/office/infopath/2007/PartnerControls">
          <TermName xmlns="http://schemas.microsoft.com/office/infopath/2007/PartnerControls">Communications and Events Management</TermName>
          <TermId xmlns="http://schemas.microsoft.com/office/infopath/2007/PartnerControls">20b6cc61-112a-439b-b204-1f337938ca92</TermId>
        </TermInfo>
      </Terms>
    </ge307b9e94f944cc8ba3effeb9348ac6>
    <h20dd30a3dbd47c590aa14f21eff29b9 xmlns="cc0dfe9a-aae4-4027-b444-64fd46c9d1f7">
      <Terms xmlns="http://schemas.microsoft.com/office/infopath/2007/PartnerControls">
        <TermInfo xmlns="http://schemas.microsoft.com/office/infopath/2007/PartnerControls">
          <TermName xmlns="http://schemas.microsoft.com/office/infopath/2007/PartnerControls">Open</TermName>
          <TermId xmlns="http://schemas.microsoft.com/office/infopath/2007/PartnerControls">e271c806-d1e7-4ce8-a2f6-e9fbb3140d84</TermId>
        </TermInfo>
      </Terms>
    </h20dd30a3dbd47c590aa14f21eff29b9>
    <Shared xmlns="d111448b-5b15-433e-b147-4bf0e7bddea0">
      <UserInfo>
        <DisplayName/>
        <AccountId xsi:nil="true"/>
        <AccountType/>
      </UserInfo>
    </Shared>
    <lcf76f155ced4ddcb4097134ff3c332f xmlns="d111448b-5b15-433e-b147-4bf0e7bddea0">
      <Terms xmlns="http://schemas.microsoft.com/office/infopath/2007/PartnerControls"/>
    </lcf76f155ced4ddcb4097134ff3c332f>
    <TaxCatchAll xmlns="2d62848b-d5a4-4e83-a65e-ffbf74be83c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D394EDD802B846B926900236851FD7" ma:contentTypeVersion="18" ma:contentTypeDescription="Create a new document." ma:contentTypeScope="" ma:versionID="dbb45d5f13160909d96f0e65a08c1f9f">
  <xsd:schema xmlns:xsd="http://www.w3.org/2001/XMLSchema" xmlns:xs="http://www.w3.org/2001/XMLSchema" xmlns:p="http://schemas.microsoft.com/office/2006/metadata/properties" xmlns:ns2="2d62848b-d5a4-4e83-a65e-ffbf74be83c5" xmlns:ns3="cc0dfe9a-aae4-4027-b444-64fd46c9d1f7" xmlns:ns4="d111448b-5b15-433e-b147-4bf0e7bddea0" targetNamespace="http://schemas.microsoft.com/office/2006/metadata/properties" ma:root="true" ma:fieldsID="e8327392896f1afa32e22d209e0cf03e" ns2:_="" ns3:_="" ns4:_="">
    <xsd:import namespace="2d62848b-d5a4-4e83-a65e-ffbf74be83c5"/>
    <xsd:import namespace="cc0dfe9a-aae4-4027-b444-64fd46c9d1f7"/>
    <xsd:import namespace="d111448b-5b15-433e-b147-4bf0e7bddea0"/>
    <xsd:element name="properties">
      <xsd:complexType>
        <xsd:sequence>
          <xsd:element name="documentManagement">
            <xsd:complexType>
              <xsd:all>
                <xsd:element ref="ns2:TaxCatchAll" minOccurs="0"/>
                <xsd:element ref="ns2:TaxCatchAllLabel" minOccurs="0"/>
                <xsd:element ref="ns3:ge307b9e94f944cc8ba3effeb9348ac6" minOccurs="0"/>
                <xsd:element ref="ns3:h20dd30a3dbd47c590aa14f21eff29b9" minOccurs="0"/>
                <xsd:element ref="ns3:l756e2459ba34607bbfa5e6df521435b"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3:SharedWithUsers" minOccurs="0"/>
                <xsd:element ref="ns3:SharedWithDetails" minOccurs="0"/>
                <xsd:element ref="ns4:MediaServiceDateTaken" minOccurs="0"/>
                <xsd:element ref="ns4:MediaServiceOCR" minOccurs="0"/>
                <xsd:element ref="ns4:MediaLengthInSeconds" minOccurs="0"/>
                <xsd:element ref="ns4:MediaServiceLocation" minOccurs="0"/>
                <xsd:element ref="ns4:Share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62848b-d5a4-4e83-a65e-ffbf74be83c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5aa016f-ee42-4f38-aaa7-ebd504a25713}" ma:internalName="TaxCatchAll" ma:showField="CatchAllData" ma:web="cc0dfe9a-aae4-4027-b444-64fd46c9d1f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5aa016f-ee42-4f38-aaa7-ebd504a25713}" ma:internalName="TaxCatchAllLabel" ma:readOnly="true" ma:showField="CatchAllDataLabel" ma:web="cc0dfe9a-aae4-4027-b444-64fd46c9d1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0dfe9a-aae4-4027-b444-64fd46c9d1f7" elementFormDefault="qualified">
    <xsd:import namespace="http://schemas.microsoft.com/office/2006/documentManagement/types"/>
    <xsd:import namespace="http://schemas.microsoft.com/office/infopath/2007/PartnerControls"/>
    <xsd:element name="ge307b9e94f944cc8ba3effeb9348ac6" ma:index="11" nillable="true" ma:taxonomy="true" ma:internalName="ge307b9e94f944cc8ba3effeb9348ac6" ma:taxonomyFieldName="BusinessActivity" ma:displayName="Business Activity" ma:default="2;#Communications and Events Management|20b6cc61-112a-439b-b204-1f337938ca92" ma:fieldId="{0e307b9e-94f9-44cc-8ba3-effeb9348ac6}" ma:sspId="3862c954-0d45-408d-bd3e-d1ce68b35c1d" ma:termSetId="df17ce9b-d202-43e1-b492-6eca5b6201bb" ma:anchorId="00000000-0000-0000-0000-000000000000" ma:open="false" ma:isKeyword="false">
      <xsd:complexType>
        <xsd:sequence>
          <xsd:element ref="pc:Terms" minOccurs="0" maxOccurs="1"/>
        </xsd:sequence>
      </xsd:complexType>
    </xsd:element>
    <xsd:element name="h20dd30a3dbd47c590aa14f21eff29b9" ma:index="13" nillable="true" ma:taxonomy="true" ma:internalName="h20dd30a3dbd47c590aa14f21eff29b9" ma:taxonomyFieldName="PRAAccessStatus" ma:displayName="PRA Access Status" ma:default="1;#Open|e271c806-d1e7-4ce8-a2f6-e9fbb3140d84" ma:fieldId="{120dd30a-3dbd-47c5-90aa-14f21eff29b9}" ma:sspId="3862c954-0d45-408d-bd3e-d1ce68b35c1d" ma:termSetId="86cdbf7b-b70e-4b70-a552-711d730b9dcd" ma:anchorId="00000000-0000-0000-0000-000000000000" ma:open="false" ma:isKeyword="false">
      <xsd:complexType>
        <xsd:sequence>
          <xsd:element ref="pc:Terms" minOccurs="0" maxOccurs="1"/>
        </xsd:sequence>
      </xsd:complexType>
    </xsd:element>
    <xsd:element name="l756e2459ba34607bbfa5e6df521435b" ma:index="15" nillable="true" ma:taxonomy="true" ma:internalName="l756e2459ba34607bbfa5e6df521435b" ma:taxonomyFieldName="RecordClass" ma:displayName="Record Class" ma:default="3;#G.6.1.0 Communications/Public Relations|d21af87d-c96b-468f-ac0c-baea69ed7a31" ma:fieldId="{5756e245-9ba3-4607-bbfa-5e6df521435b}" ma:sspId="3862c954-0d45-408d-bd3e-d1ce68b35c1d" ma:termSetId="43321af1-bf62-4d8c-bce2-84a484052b8c" ma:anchorId="726dd09a-3ae8-4205-b1c1-9e998d51ac7f"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11448b-5b15-433e-b147-4bf0e7bddea0"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element name="Shared" ma:index="29" nillable="true" ma:displayName="Shared" ma:list="UserInfo" ma:SharePointGroup="0" ma:internalName="Share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62c954-0d45-408d-bd3e-d1ce68b35c1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2.xml><?xml version="1.0" encoding="utf-8"?>
<ds:datastoreItem xmlns:ds="http://schemas.openxmlformats.org/officeDocument/2006/customXml" ds:itemID="{EC31ED8C-C6E5-4AF2-A5F0-686352D6AEB5}">
  <ds:schemaRefs>
    <ds:schemaRef ds:uri="0c63644a-1c8b-4788-8caf-cd602647fd86"/>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43624e43-2892-4054-884b-1f5011b5b79c"/>
    <ds:schemaRef ds:uri="cc0dfe9a-aae4-4027-b444-64fd46c9d1f7"/>
    <ds:schemaRef ds:uri="d111448b-5b15-433e-b147-4bf0e7bddea0"/>
    <ds:schemaRef ds:uri="2d62848b-d5a4-4e83-a65e-ffbf74be83c5"/>
  </ds:schemaRefs>
</ds:datastoreItem>
</file>

<file path=customXml/itemProps3.xml><?xml version="1.0" encoding="utf-8"?>
<ds:datastoreItem xmlns:ds="http://schemas.openxmlformats.org/officeDocument/2006/customXml" ds:itemID="{09B76247-7183-49F4-AB93-F1BEB2DE5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62848b-d5a4-4e83-a65e-ffbf74be83c5"/>
    <ds:schemaRef ds:uri="cc0dfe9a-aae4-4027-b444-64fd46c9d1f7"/>
    <ds:schemaRef ds:uri="d111448b-5b15-433e-b147-4bf0e7bdde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Calculator</vt:lpstr>
      <vt:lpstr>Lists &amp; to do</vt:lpstr>
      <vt:lpstr>Airways Aerodrome</vt:lpstr>
      <vt:lpstr>Approach</vt:lpstr>
      <vt:lpstr>Unattended</vt:lpstr>
      <vt:lpstr>Enroute Domestic</vt:lpstr>
      <vt:lpstr>Enroute Oceanic</vt:lpstr>
      <vt:lpstr>'Airways Aerodrome'!Print_Area</vt:lpstr>
      <vt:lpstr>Approach!Print_Area</vt:lpstr>
      <vt:lpstr>Calculator!Print_Area</vt:lpstr>
      <vt:lpstr>'Enroute Domestic'!Print_Area</vt:lpstr>
      <vt:lpstr>Unattended!Print_Area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Yu, Penny</cp:lastModifiedBy>
  <cp:revision/>
  <cp:lastPrinted>2022-07-20T04:31:43Z</cp:lastPrinted>
  <dcterms:created xsi:type="dcterms:W3CDTF">2011-07-16T04:55:59Z</dcterms:created>
  <dcterms:modified xsi:type="dcterms:W3CDTF">2023-10-17T23:05:47Z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0x01010072E9C3C2076551428371C838CEF5FA3A</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d52b2e9e-03b5-42e6-a327-d48da0f254c7</vt:lpwstr>
  </property>
  <property fmtid="{D5CDD505-2E9C-101B-9397-08002B2CF9AE}" pid="10" name="MSIP_Label_761c9446-a51d-4078-bf91-a063126764f4_Enabled">
    <vt:lpwstr>true</vt:lpwstr>
  </property>
  <property fmtid="{D5CDD505-2E9C-101B-9397-08002B2CF9AE}" pid="11" name="MSIP_Label_761c9446-a51d-4078-bf91-a063126764f4_SetDate">
    <vt:lpwstr>2022-05-31T02:33:24Z</vt:lpwstr>
  </property>
  <property fmtid="{D5CDD505-2E9C-101B-9397-08002B2CF9AE}" pid="12" name="MSIP_Label_761c9446-a51d-4078-bf91-a063126764f4_Method">
    <vt:lpwstr>Standard</vt:lpwstr>
  </property>
  <property fmtid="{D5CDD505-2E9C-101B-9397-08002B2CF9AE}" pid="13" name="MSIP_Label_761c9446-a51d-4078-bf91-a063126764f4_Name">
    <vt:lpwstr>ACNZ - TLP White</vt:lpwstr>
  </property>
  <property fmtid="{D5CDD505-2E9C-101B-9397-08002B2CF9AE}" pid="14" name="MSIP_Label_761c9446-a51d-4078-bf91-a063126764f4_SiteId">
    <vt:lpwstr>6534ab2d-3683-4012-8c1d-b14ddef1f700</vt:lpwstr>
  </property>
  <property fmtid="{D5CDD505-2E9C-101B-9397-08002B2CF9AE}" pid="15" name="MSIP_Label_761c9446-a51d-4078-bf91-a063126764f4_ActionId">
    <vt:lpwstr>8db8b482-5709-41e6-a3b5-84494bde8fe2</vt:lpwstr>
  </property>
  <property fmtid="{D5CDD505-2E9C-101B-9397-08002B2CF9AE}" pid="16" name="MSIP_Label_761c9446-a51d-4078-bf91-a063126764f4_ContentBits">
    <vt:lpwstr>0</vt:lpwstr>
  </property>
</Properties>
</file>